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6.xml" ContentType="application/vnd.openxmlformats-officedocument.drawing+xml"/>
  <Override PartName="/xl/worksheets/sheet15.xml" ContentType="application/vnd.openxmlformats-officedocument.spreadsheetml.worksheet+xml"/>
  <Override PartName="/xl/drawings/drawing7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9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C17D" lockStructure="1"/>
  <bookViews>
    <workbookView visibility="visible" minimized="0" showHorizontalScroll="1" showVerticalScroll="1" showSheetTabs="1" xWindow="4180" yWindow="660" windowWidth="29420" windowHeight="18880" tabRatio="500" firstSheet="0" activeTab="2" autoFilterDateGrouping="1"/>
  </bookViews>
  <sheets>
    <sheet xmlns:r="http://schemas.openxmlformats.org/officeDocument/2006/relationships" name="COVER_DASHBOARD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HERD_MODEL" sheetId="3" state="visible" r:id="rId3"/>
    <sheet xmlns:r="http://schemas.openxmlformats.org/officeDocument/2006/relationships" name="FEED_FARM" sheetId="4" state="visible" r:id="rId4"/>
    <sheet xmlns:r="http://schemas.openxmlformats.org/officeDocument/2006/relationships" name="DAIRY" sheetId="5" state="visible" r:id="rId5"/>
    <sheet xmlns:r="http://schemas.openxmlformats.org/officeDocument/2006/relationships" name="FATTENING" sheetId="6" state="visible" r:id="rId6"/>
    <sheet xmlns:r="http://schemas.openxmlformats.org/officeDocument/2006/relationships" name="LOGISTICS" sheetId="7" state="visible" r:id="rId7"/>
    <sheet xmlns:r="http://schemas.openxmlformats.org/officeDocument/2006/relationships" name="TRANSFER_PRICING" sheetId="8" state="visible" r:id="rId8"/>
    <sheet xmlns:r="http://schemas.openxmlformats.org/officeDocument/2006/relationships" name="OPEX" sheetId="9" state="visible" r:id="rId9"/>
    <sheet xmlns:r="http://schemas.openxmlformats.org/officeDocument/2006/relationships" name="OPEX_APPENDIX" sheetId="10" state="visible" r:id="rId10"/>
    <sheet xmlns:r="http://schemas.openxmlformats.org/officeDocument/2006/relationships" name="WORKING_CAPITAL" sheetId="11" state="visible" r:id="rId11"/>
    <sheet xmlns:r="http://schemas.openxmlformats.org/officeDocument/2006/relationships" name="CAPEX" sheetId="12" state="visible" r:id="rId12"/>
    <sheet xmlns:r="http://schemas.openxmlformats.org/officeDocument/2006/relationships" name="CAPEX_APPENDIX" sheetId="13" state="visible" r:id="rId13"/>
    <sheet xmlns:r="http://schemas.openxmlformats.org/officeDocument/2006/relationships" name="FUNDING_DEBT" sheetId="14" state="visible" r:id="rId14"/>
    <sheet xmlns:r="http://schemas.openxmlformats.org/officeDocument/2006/relationships" name="MORATORIUM_COVERAGE" sheetId="15" state="visible" r:id="rId15"/>
    <sheet xmlns:r="http://schemas.openxmlformats.org/officeDocument/2006/relationships" name="PNL" sheetId="16" state="visible" r:id="rId16"/>
    <sheet xmlns:r="http://schemas.openxmlformats.org/officeDocument/2006/relationships" name="BALANCE_SHEET" sheetId="17" state="visible" r:id="rId17"/>
    <sheet xmlns:r="http://schemas.openxmlformats.org/officeDocument/2006/relationships" name="CASHFLOW" sheetId="18" state="visible" r:id="rId18"/>
    <sheet xmlns:r="http://schemas.openxmlformats.org/officeDocument/2006/relationships" name="RATIOS_BREAKEVEN" sheetId="19" state="visible" r:id="rId19"/>
    <sheet xmlns:r="http://schemas.openxmlformats.org/officeDocument/2006/relationships" name="SCENARIOS_SENSITIVITY" sheetId="20" state="visible" r:id="rId20"/>
    <sheet xmlns:r="http://schemas.openxmlformats.org/officeDocument/2006/relationships" name="MODEL_AUDIT" sheetId="21" state="visible" r:id="rId21"/>
  </sheets>
  <definedNames>
    <definedName name="MinDSCR">ASSUMPTIONS!$B$33</definedName>
  </definedNames>
  <calcPr calcId="191029" calcMode="auto" fullCalcOnLoad="1" iterateDelta="0.0001" forceFullCalc="1"/>
</workbook>
</file>

<file path=xl/styles.xml><?xml version="1.0" encoding="utf-8"?>
<styleSheet xmlns="http://schemas.openxmlformats.org/spreadsheetml/2006/main">
  <numFmts count="6">
    <numFmt numFmtId="164" formatCode="#,##0;[Red]\(#,##0\);\-"/>
    <numFmt numFmtId="165" formatCode="0.00\x"/>
    <numFmt numFmtId="166" formatCode="0.0%"/>
    <numFmt numFmtId="167" formatCode="_(* #,##0_);_(* \(#,##0\);_(* \-??_);_(@_)"/>
    <numFmt numFmtId="168" formatCode="#,##0.00;[Red]\(#,##0.00\);\-"/>
    <numFmt numFmtId="169" formatCode="0.0_);[Red]\(0.0\)"/>
  </numFmts>
  <fonts count="54">
    <font>
      <name val="Calibri"/>
      <charset val="1"/>
      <sz val="11"/>
    </font>
    <font>
      <name val="Calibri"/>
      <charset val="1"/>
      <family val="2"/>
      <b val="1"/>
      <color theme="1"/>
      <sz val="20"/>
    </font>
    <font>
      <name val="Calibri"/>
      <charset val="1"/>
      <family val="2"/>
      <color theme="1"/>
      <sz val="16"/>
    </font>
    <font>
      <name val="Calibri"/>
      <charset val="1"/>
      <family val="2"/>
      <color theme="1"/>
      <sz val="20"/>
    </font>
    <font>
      <name val="Calibri"/>
      <charset val="1"/>
      <family val="2"/>
      <b val="1"/>
      <color theme="1"/>
      <sz val="16"/>
    </font>
    <font>
      <name val="Calibri"/>
      <charset val="1"/>
      <family val="2"/>
      <color theme="1"/>
      <sz val="14"/>
    </font>
    <font>
      <name val="Calibri"/>
      <charset val="1"/>
      <family val="2"/>
      <color theme="10"/>
      <sz val="16"/>
      <u val="single"/>
    </font>
    <font>
      <name val="Calibri"/>
      <charset val="1"/>
      <family val="2"/>
      <color theme="10"/>
      <sz val="12"/>
    </font>
    <font>
      <name val="Calibri"/>
      <charset val="1"/>
      <family val="2"/>
      <sz val="11"/>
    </font>
    <font>
      <name val="Calibri"/>
      <charset val="1"/>
      <family val="2"/>
      <b val="1"/>
      <sz val="16"/>
    </font>
    <font>
      <name val="Segoe UI"/>
      <charset val="1"/>
      <sz val="14"/>
    </font>
    <font>
      <name val="Calibri"/>
      <charset val="1"/>
      <family val="2"/>
      <b val="1"/>
      <color theme="1"/>
      <sz val="11"/>
    </font>
    <font>
      <name val="Calibri"/>
      <charset val="1"/>
      <family val="2"/>
      <b val="1"/>
      <color rgb="FFFFFFFF"/>
      <sz val="11"/>
    </font>
    <font>
      <name val="Calibri"/>
      <charset val="1"/>
      <family val="2"/>
      <b val="1"/>
      <color rgb="FF0563C1"/>
      <sz val="11"/>
      <u val="single"/>
    </font>
    <font>
      <name val="Calibri"/>
      <charset val="1"/>
      <family val="2"/>
      <color theme="1"/>
      <sz val="11"/>
    </font>
    <font>
      <name val="Calibri"/>
      <charset val="1"/>
      <family val="2"/>
      <b val="1"/>
      <sz val="11"/>
    </font>
    <font>
      <name val="Calibri"/>
      <charset val="1"/>
      <family val="2"/>
      <i val="1"/>
      <color rgb="FF5C6575"/>
      <sz val="11"/>
    </font>
    <font>
      <name val="Calibri"/>
      <charset val="1"/>
      <family val="2"/>
      <b val="1"/>
      <color rgb="FF172033"/>
      <sz val="11"/>
    </font>
    <font>
      <name val="Arial Unicode MS"/>
      <charset val="1"/>
      <family val="2"/>
      <sz val="10"/>
    </font>
    <font>
      <name val="Calibri"/>
      <charset val="1"/>
      <family val="2"/>
      <i val="1"/>
      <color theme="1"/>
      <sz val="11"/>
    </font>
    <font>
      <name val="Calibri"/>
      <charset val="1"/>
      <family val="2"/>
      <b val="1"/>
      <sz val="14"/>
    </font>
    <font>
      <name val="Calibri"/>
      <charset val="1"/>
      <family val="2"/>
      <color theme="1"/>
      <sz val="12"/>
    </font>
    <font>
      <name val="Calibri"/>
      <charset val="1"/>
      <family val="2"/>
      <b val="1"/>
      <color rgb="FFFFFFFF"/>
      <sz val="13"/>
    </font>
    <font>
      <name val="Calibri"/>
      <charset val="1"/>
      <family val="2"/>
      <color rgb="FF000000"/>
      <sz val="11"/>
    </font>
    <font>
      <name val="Calibri"/>
      <charset val="1"/>
      <family val="2"/>
      <b val="1"/>
      <color rgb="FFFFFFFF"/>
      <sz val="14"/>
    </font>
    <font>
      <name val="Calibri"/>
      <charset val="1"/>
      <family val="2"/>
      <i val="1"/>
      <color rgb="FF404040"/>
      <sz val="11"/>
    </font>
    <font>
      <name val="Calibri"/>
      <charset val="1"/>
      <family val="2"/>
      <i val="1"/>
      <color rgb="FF000000"/>
      <sz val="11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b val="1"/>
      <color theme="0"/>
      <sz val="11"/>
    </font>
    <font>
      <name val="Calibri"/>
      <charset val="1"/>
      <family val="2"/>
      <b val="1"/>
      <color rgb="FF0563C1"/>
      <sz val="11"/>
    </font>
    <font>
      <name val="Calibri"/>
      <family val="2"/>
      <b val="1"/>
      <color rgb="FFFFFFFF"/>
      <sz val="16"/>
    </font>
    <font>
      <name val="Calibri"/>
      <family val="2"/>
      <i val="1"/>
      <color rgb="FF5C6575"/>
      <sz val="11"/>
    </font>
    <font>
      <name val="Calibri"/>
      <family val="2"/>
      <b val="1"/>
      <color rgb="FFFFFFFF"/>
      <sz val="11"/>
    </font>
    <font>
      <name val="Calibri"/>
      <family val="2"/>
      <b val="1"/>
      <sz val="11"/>
    </font>
    <font>
      <name val="Calibri"/>
      <family val="2"/>
      <b val="1"/>
      <color rgb="FF173F5F"/>
      <sz val="11"/>
    </font>
    <font>
      <name val="Calibri"/>
      <family val="2"/>
      <sz val="11"/>
    </font>
    <font>
      <name val="Segoe UI"/>
      <sz val="14"/>
    </font>
    <font>
      <name val="Segoe UI"/>
      <b val="1"/>
      <sz val="24"/>
    </font>
    <font>
      <name val="Segoe UI"/>
      <b val="1"/>
      <sz val="13.5"/>
    </font>
    <font>
      <name val="Segoe UI"/>
      <b val="1"/>
      <sz val="18"/>
    </font>
    <font>
      <name val="Segoe UI"/>
      <b val="1"/>
      <sz val="11"/>
    </font>
    <font>
      <name val="Segoe UI"/>
      <sz val="11"/>
    </font>
    <font>
      <name val="Calibri"/>
      <family val="2"/>
      <b val="1"/>
      <color rgb="FF173F5F"/>
      <sz val="11"/>
    </font>
    <font>
      <name val="Calibri"/>
      <family val="2"/>
      <b val="1"/>
      <color rgb="FFFFFFFF"/>
      <sz val="11"/>
    </font>
    <font>
      <name val="Calibri"/>
      <family val="2"/>
      <b val="1"/>
      <sz val="11"/>
    </font>
    <font>
      <name val="Calibri"/>
      <family val="2"/>
      <b val="1"/>
      <color rgb="FFFFFFFF"/>
      <sz val="16"/>
    </font>
    <font>
      <name val="Calibri"/>
      <family val="2"/>
      <i val="1"/>
      <color rgb="FF5C6575"/>
      <sz val="11"/>
    </font>
    <font>
      <name val="Calibri"/>
      <family val="2"/>
      <i val="1"/>
      <color rgb="FF666666"/>
      <sz val="11"/>
    </font>
    <font>
      <name val="Calibri"/>
      <family val="2"/>
      <b val="1"/>
      <color rgb="FFFFFFFF"/>
      <sz val="14"/>
    </font>
    <font>
      <b val="1"/>
      <color rgb="00FFFFFF"/>
    </font>
    <font>
      <b val="1"/>
    </font>
    <font/>
    <font>
      <b val="1"/>
      <color rgb="00FFFFFF"/>
      <sz val="14"/>
    </font>
    <font>
      <i val="1"/>
      <color rgb="00666666"/>
    </font>
  </fonts>
  <fills count="37">
    <fill>
      <patternFill/>
    </fill>
    <fill>
      <patternFill patternType="gray125"/>
    </fill>
    <fill>
      <patternFill patternType="solid">
        <fgColor rgb="FFDDEBF7"/>
        <bgColor rgb="FFD9EAF7"/>
      </patternFill>
    </fill>
    <fill>
      <patternFill patternType="solid">
        <fgColor rgb="FFE0E0E0"/>
        <bgColor rgb="FFD9D9D9"/>
      </patternFill>
    </fill>
    <fill>
      <patternFill patternType="solid">
        <fgColor rgb="FF173F5F"/>
        <bgColor rgb="FF1F497D"/>
      </patternFill>
    </fill>
    <fill>
      <patternFill patternType="solid">
        <fgColor rgb="FFD9EAF7"/>
        <bgColor rgb="FFDDEBF7"/>
      </patternFill>
    </fill>
    <fill>
      <patternFill patternType="solid">
        <fgColor rgb="FFFFF2CC"/>
        <bgColor rgb="FFFCE4D6"/>
      </patternFill>
    </fill>
    <fill>
      <patternFill patternType="solid">
        <fgColor theme="4" tint="0.7998901333658864"/>
        <bgColor rgb="FFD9EAF7"/>
      </patternFill>
    </fill>
    <fill>
      <patternFill patternType="solid">
        <fgColor rgb="FF92D050"/>
        <bgColor rgb="FF9FB0C0"/>
      </patternFill>
    </fill>
    <fill>
      <patternFill patternType="solid">
        <fgColor rgb="FFEAF3F8"/>
        <bgColor rgb="FFEAF2F8"/>
      </patternFill>
    </fill>
    <fill>
      <patternFill patternType="solid">
        <fgColor rgb="FFC0D1D6"/>
        <bgColor rgb="FFB8CCE4"/>
      </patternFill>
    </fill>
    <fill>
      <patternFill patternType="solid">
        <fgColor rgb="FF1F4E78"/>
        <bgColor rgb="FF1F497D"/>
      </patternFill>
    </fill>
    <fill>
      <patternFill patternType="solid">
        <fgColor rgb="FF4F81BD"/>
        <bgColor rgb="FF5C6575"/>
      </patternFill>
    </fill>
    <fill>
      <patternFill patternType="solid">
        <fgColor rgb="FFD9EAD3"/>
        <bgColor rgb="FFE2F0D9"/>
      </patternFill>
    </fill>
    <fill>
      <patternFill patternType="solid">
        <fgColor rgb="FFF4CCCC"/>
        <bgColor rgb="FFFFC7CE"/>
      </patternFill>
    </fill>
    <fill>
      <patternFill patternType="solid">
        <fgColor rgb="FFFFEB9C"/>
        <bgColor rgb="FFFFF2CC"/>
      </patternFill>
    </fill>
    <fill>
      <patternFill patternType="solid">
        <fgColor theme="3" tint="0.7998901333658864"/>
        <bgColor rgb="FFC0D1D6"/>
      </patternFill>
    </fill>
    <fill>
      <patternFill patternType="solid">
        <fgColor rgb="FFEAF2F8"/>
        <bgColor rgb="FFEAF3F8"/>
      </patternFill>
    </fill>
    <fill>
      <patternFill patternType="solid">
        <fgColor rgb="FFE2F0D9"/>
        <bgColor rgb="FFD9EAD3"/>
      </patternFill>
    </fill>
    <fill>
      <patternFill patternType="solid">
        <fgColor rgb="FFF7F7F7"/>
        <bgColor rgb="FFEAF3F8"/>
      </patternFill>
    </fill>
    <fill>
      <patternFill patternType="solid">
        <fgColor theme="3"/>
        <bgColor rgb="FF1F4E78"/>
      </patternFill>
    </fill>
    <fill>
      <patternFill patternType="solid">
        <fgColor rgb="FFB8CCE4"/>
        <bgColor rgb="FFC0D1D6"/>
      </patternFill>
    </fill>
    <fill>
      <patternFill patternType="solid">
        <fgColor rgb="FF173F5F"/>
      </patternFill>
    </fill>
    <fill>
      <patternFill patternType="solid">
        <fgColor rgb="FFF6F8FB"/>
      </patternFill>
    </fill>
    <fill>
      <patternFill patternType="solid">
        <fgColor rgb="FFEAF3F8"/>
      </patternFill>
    </fill>
    <fill>
      <patternFill patternType="solid">
        <fgColor rgb="FF173F5F"/>
      </patternFill>
    </fill>
    <fill>
      <patternFill patternType="solid">
        <fgColor rgb="FFF6F8FB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1F4E78"/>
      </patternFill>
    </fill>
    <fill>
      <patternFill patternType="solid">
        <fgColor rgb="00F3F4F6"/>
      </patternFill>
    </fill>
    <fill>
      <patternFill patternType="solid">
        <fgColor rgb="001F4E79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D9EAF7"/>
      </patternFill>
    </fill>
    <fill>
      <patternFill patternType="solid">
        <fgColor rgb="00173F5F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9FB0C0"/>
      </left>
      <right style="thin">
        <color rgb="FF9FB0C0"/>
      </right>
      <top style="thin">
        <color rgb="FF9FB0C0"/>
      </top>
      <bottom style="thin">
        <color rgb="FF9FB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9FB0C0"/>
      </left>
      <right style="thin">
        <color rgb="FF9FB0C0"/>
      </right>
      <top style="thin">
        <color rgb="FF9FB0C0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C8D1DC"/>
      </left>
      <right style="thin">
        <color rgb="FFC8D1DC"/>
      </right>
      <top style="thin">
        <color rgb="FFC8D1DC"/>
      </top>
      <bottom style="thin">
        <color rgb="FFC8D1DC"/>
      </bottom>
      <diagonal/>
    </border>
    <border>
      <left/>
      <right/>
      <top style="thin">
        <color rgb="FFC8D1DC"/>
      </top>
      <bottom style="thin">
        <color rgb="FFC8D1DC"/>
      </bottom>
      <diagonal/>
    </border>
    <border>
      <left/>
      <right style="thin">
        <color rgb="FFC8D1DC"/>
      </right>
      <top style="thin">
        <color rgb="FFC8D1DC"/>
      </top>
      <bottom style="thin">
        <color rgb="FFC8D1DC"/>
      </bottom>
      <diagonal/>
    </border>
    <border>
      <left style="thin">
        <color rgb="FFC8D1DC"/>
      </left>
      <right style="thin">
        <color rgb="FFC8D1DC"/>
      </right>
      <top style="thin">
        <color rgb="FFC8D1DC"/>
      </top>
      <bottom style="thin">
        <color rgb="FFC8D1DC"/>
      </bottom>
      <diagonal/>
    </border>
    <border>
      <left/>
      <right/>
      <top style="thin">
        <color rgb="FFC8D1DC"/>
      </top>
      <bottom/>
      <diagonal/>
    </border>
    <border>
      <left/>
      <right style="thin">
        <color rgb="FFC8D1DC"/>
      </right>
      <top style="thin">
        <color rgb="FFC8D1DC"/>
      </top>
      <bottom/>
      <diagonal/>
    </border>
    <border>
      <left/>
      <right/>
      <top style="thin">
        <color rgb="FFC8D1DC"/>
      </top>
      <bottom style="thin">
        <color rgb="FFC8D1DC"/>
      </bottom>
      <diagonal/>
    </border>
    <border>
      <left/>
      <right style="thin">
        <color rgb="FFC8D1DC"/>
      </right>
      <top style="thin">
        <color rgb="FFC8D1DC"/>
      </top>
      <bottom style="thin">
        <color rgb="FFC8D1DC"/>
      </bottom>
      <diagonal/>
    </border>
    <border>
      <left style="thin">
        <color rgb="FFC8D1DC"/>
      </left>
      <right/>
      <top/>
      <bottom/>
      <diagonal/>
    </border>
    <border>
      <left/>
      <right style="thin">
        <color rgb="FFC8D1DC"/>
      </right>
      <top/>
      <bottom/>
      <diagonal/>
    </border>
    <border>
      <left style="thin">
        <color rgb="FFC8D1DC"/>
      </left>
      <right/>
      <top/>
      <bottom style="thin">
        <color rgb="FFC8D1DC"/>
      </bottom>
      <diagonal/>
    </border>
    <border>
      <left/>
      <right/>
      <top/>
      <bottom style="thin">
        <color rgb="FFC8D1DC"/>
      </bottom>
      <diagonal/>
    </border>
    <border>
      <left/>
      <right style="thin">
        <color rgb="FFC8D1DC"/>
      </right>
      <top/>
      <bottom style="thin">
        <color rgb="FFC8D1DC"/>
      </bottom>
      <diagonal/>
    </border>
  </borders>
  <cellStyleXfs count="1">
    <xf numFmtId="0" fontId="0" fillId="0" borderId="0"/>
  </cellStyleXfs>
  <cellXfs count="39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49" fontId="2" fillId="0" borderId="0" applyAlignment="1" pivotButton="0" quotePrefix="0" xfId="0">
      <alignment horizontal="left"/>
    </xf>
    <xf numFmtId="49" fontId="2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1" fillId="3" borderId="1" pivotButton="0" quotePrefix="0" xfId="0"/>
    <xf numFmtId="0" fontId="11" fillId="0" borderId="0" pivotButton="0" quotePrefix="0" xfId="0"/>
    <xf numFmtId="0" fontId="8" fillId="0" borderId="1" pivotButton="0" quotePrefix="0" xfId="0"/>
    <xf numFmtId="0" fontId="0" fillId="0" borderId="1" pivotButton="0" quotePrefix="0" xfId="0"/>
    <xf numFmtId="0" fontId="12" fillId="4" borderId="0" pivotButton="0" quotePrefix="0" xfId="0"/>
    <xf numFmtId="0" fontId="13" fillId="0" borderId="0" pivotButton="0" quotePrefix="0" xfId="0"/>
    <xf numFmtId="0" fontId="12" fillId="4" borderId="2" pivotButton="0" quotePrefix="0" xfId="0"/>
    <xf numFmtId="0" fontId="0" fillId="0" borderId="2" pivotButton="0" quotePrefix="0" xfId="0"/>
    <xf numFmtId="0" fontId="11" fillId="3" borderId="3" pivotButton="0" quotePrefix="0" xfId="0"/>
    <xf numFmtId="0" fontId="11" fillId="3" borderId="3" applyAlignment="1" pivotButton="0" quotePrefix="0" xfId="0">
      <alignment horizontal="right"/>
    </xf>
    <xf numFmtId="0" fontId="14" fillId="0" borderId="0" pivotButton="0" quotePrefix="0" xfId="0"/>
    <xf numFmtId="0" fontId="15" fillId="5" borderId="3" pivotButton="0" quotePrefix="0" xfId="0"/>
    <xf numFmtId="0" fontId="0" fillId="0" borderId="3" pivotButton="0" quotePrefix="0" xfId="0"/>
    <xf numFmtId="0" fontId="16" fillId="0" borderId="0" applyAlignment="1" pivotButton="0" quotePrefix="0" xfId="0">
      <alignment wrapText="1"/>
    </xf>
    <xf numFmtId="0" fontId="8" fillId="0" borderId="3" pivotButton="0" quotePrefix="0" xfId="0"/>
    <xf numFmtId="164" fontId="0" fillId="0" borderId="3" pivotButton="0" quotePrefix="0" xfId="0"/>
    <xf numFmtId="0" fontId="15" fillId="5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left"/>
    </xf>
    <xf numFmtId="0" fontId="11" fillId="3" borderId="1" applyAlignment="1" pivotButton="0" quotePrefix="0" xfId="0">
      <alignment horizontal="center"/>
    </xf>
    <xf numFmtId="0" fontId="11" fillId="3" borderId="1" applyAlignment="1" pivotButton="0" quotePrefix="0" xfId="0">
      <alignment horizontal="right"/>
    </xf>
    <xf numFmtId="0" fontId="15" fillId="5" borderId="1" applyAlignment="1" pivotButton="0" quotePrefix="0" xfId="0">
      <alignment horizontal="center"/>
    </xf>
    <xf numFmtId="3" fontId="0" fillId="0" borderId="1" pivotButton="0" quotePrefix="0" xfId="0"/>
    <xf numFmtId="0" fontId="15" fillId="7" borderId="1" applyAlignment="1" pivotButton="0" quotePrefix="0" xfId="0">
      <alignment horizontal="center"/>
    </xf>
    <xf numFmtId="4" fontId="8" fillId="0" borderId="1" pivotButton="0" quotePrefix="0" xfId="0"/>
    <xf numFmtId="4" fontId="0" fillId="8" borderId="1" pivotButton="0" quotePrefix="0" xfId="0"/>
    <xf numFmtId="0" fontId="13" fillId="9" borderId="2" pivotButton="0" quotePrefix="0" xfId="0"/>
    <xf numFmtId="0" fontId="19" fillId="3" borderId="1" pivotButton="0" quotePrefix="0" xfId="0"/>
    <xf numFmtId="0" fontId="15" fillId="0" borderId="0" pivotButton="0" quotePrefix="0" xfId="0"/>
    <xf numFmtId="164" fontId="15" fillId="0" borderId="1" pivotButton="0" quotePrefix="0" xfId="0"/>
    <xf numFmtId="165" fontId="0" fillId="0" borderId="1" pivotButton="0" quotePrefix="0" xfId="0"/>
    <xf numFmtId="0" fontId="15" fillId="5" borderId="4" pivotButton="0" quotePrefix="0" xfId="0"/>
    <xf numFmtId="164" fontId="0" fillId="0" borderId="4" pivotButton="0" quotePrefix="0" xfId="0"/>
    <xf numFmtId="4" fontId="0" fillId="0" borderId="4" pivotButton="0" quotePrefix="0" xfId="0"/>
    <xf numFmtId="165" fontId="0" fillId="0" borderId="4" pivotButton="0" quotePrefix="0" xfId="0"/>
    <xf numFmtId="0" fontId="0" fillId="0" borderId="4" pivotButton="0" quotePrefix="0" xfId="0"/>
    <xf numFmtId="164" fontId="0" fillId="0" borderId="0" pivotButton="0" quotePrefix="0" xfId="0"/>
    <xf numFmtId="0" fontId="11" fillId="10" borderId="1" pivotButton="0" quotePrefix="0" xfId="0"/>
    <xf numFmtId="0" fontId="15" fillId="0" borderId="1" pivotButton="0" quotePrefix="0" xfId="0"/>
    <xf numFmtId="166" fontId="0" fillId="0" borderId="1" pivotButton="0" quotePrefix="0" xfId="0"/>
    <xf numFmtId="0" fontId="20" fillId="0" borderId="0" pivotButton="0" quotePrefix="0" xfId="0"/>
    <xf numFmtId="0" fontId="21" fillId="0" borderId="0" pivotButton="0" quotePrefix="0" xfId="0"/>
    <xf numFmtId="0" fontId="7" fillId="0" borderId="0" pivotButton="0" quotePrefix="0" xfId="0"/>
    <xf numFmtId="166" fontId="15" fillId="6" borderId="1" pivotButton="0" quotePrefix="0" xfId="0"/>
    <xf numFmtId="3" fontId="15" fillId="6" borderId="1" pivotButton="0" quotePrefix="0" xfId="0"/>
    <xf numFmtId="4" fontId="15" fillId="6" borderId="1" pivotButton="0" quotePrefix="0" xfId="0"/>
    <xf numFmtId="165" fontId="15" fillId="6" borderId="1" pivotButton="0" quotePrefix="0" xfId="0"/>
    <xf numFmtId="165" fontId="0" fillId="0" borderId="0" pivotButton="0" quotePrefix="0" xfId="0"/>
    <xf numFmtId="0" fontId="13" fillId="0" borderId="2" pivotButton="0" quotePrefix="0" xfId="0"/>
    <xf numFmtId="0" fontId="16" fillId="0" borderId="2" pivotButton="0" quotePrefix="0" xfId="0"/>
    <xf numFmtId="0" fontId="13" fillId="0" borderId="5" pivotButton="0" quotePrefix="0" xfId="0"/>
    <xf numFmtId="0" fontId="16" fillId="0" borderId="5" pivotButton="0" quotePrefix="0" xfId="0"/>
    <xf numFmtId="0" fontId="0" fillId="0" borderId="5" pivotButton="0" quotePrefix="0" xfId="0"/>
    <xf numFmtId="164" fontId="0" fillId="0" borderId="1" applyAlignment="1" pivotButton="0" quotePrefix="0" xfId="0">
      <alignment horizontal="right"/>
    </xf>
    <xf numFmtId="0" fontId="0" fillId="0" borderId="3" applyAlignment="1" pivotButton="0" quotePrefix="0" xfId="0">
      <alignment horizontal="right"/>
    </xf>
    <xf numFmtId="164" fontId="0" fillId="0" borderId="3" applyAlignment="1" pivotButton="0" quotePrefix="0" xfId="0">
      <alignment horizontal="right"/>
    </xf>
    <xf numFmtId="164" fontId="0" fillId="0" borderId="6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4" fontId="0" fillId="0" borderId="6" pivotButton="0" quotePrefix="0" xfId="0"/>
    <xf numFmtId="164" fontId="0" fillId="0" borderId="7" pivotButton="0" quotePrefix="0" xfId="0"/>
    <xf numFmtId="0" fontId="12" fillId="12" borderId="8" applyAlignment="1" pivotButton="0" quotePrefix="0" xfId="0">
      <alignment horizontal="center" vertical="center" wrapText="1"/>
    </xf>
    <xf numFmtId="0" fontId="0" fillId="0" borderId="8" applyAlignment="1" pivotButton="0" quotePrefix="0" xfId="0">
      <alignment vertical="top"/>
    </xf>
    <xf numFmtId="0" fontId="7" fillId="0" borderId="8" applyAlignment="1" pivotButton="0" quotePrefix="0" xfId="0">
      <alignment vertical="top"/>
    </xf>
    <xf numFmtId="0" fontId="8" fillId="0" borderId="8" applyAlignment="1" pivotButton="0" quotePrefix="0" xfId="0">
      <alignment vertical="top"/>
    </xf>
    <xf numFmtId="0" fontId="8" fillId="13" borderId="8" applyAlignment="1" pivotButton="0" quotePrefix="0" xfId="0">
      <alignment vertical="top"/>
    </xf>
    <xf numFmtId="0" fontId="0" fillId="6" borderId="8" applyAlignment="1" pivotButton="0" quotePrefix="0" xfId="0">
      <alignment vertical="top"/>
    </xf>
    <xf numFmtId="0" fontId="0" fillId="13" borderId="8" applyAlignment="1" pivotButton="0" quotePrefix="0" xfId="0">
      <alignment vertical="top"/>
    </xf>
    <xf numFmtId="0" fontId="0" fillId="14" borderId="8" applyAlignment="1" pivotButton="0" quotePrefix="0" xfId="0">
      <alignment vertical="top"/>
    </xf>
    <xf numFmtId="0" fontId="0" fillId="15" borderId="8" applyAlignment="1" pivotButton="0" quotePrefix="0" xfId="0">
      <alignment vertical="top"/>
    </xf>
    <xf numFmtId="4" fontId="0" fillId="0" borderId="8" applyAlignment="1" pivotButton="0" quotePrefix="0" xfId="0">
      <alignment vertical="top"/>
    </xf>
    <xf numFmtId="0" fontId="8" fillId="6" borderId="8" applyAlignment="1" pivotButton="0" quotePrefix="0" xfId="0">
      <alignment vertical="top"/>
    </xf>
    <xf numFmtId="0" fontId="8" fillId="16" borderId="8" applyAlignment="1" pivotButton="0" quotePrefix="0" xfId="0">
      <alignment vertical="top"/>
    </xf>
    <xf numFmtId="0" fontId="0" fillId="16" borderId="8" applyAlignment="1" pivotButton="0" quotePrefix="0" xfId="0">
      <alignment vertical="top"/>
    </xf>
    <xf numFmtId="0" fontId="7" fillId="16" borderId="8" applyAlignment="1" pivotButton="0" quotePrefix="0" xfId="0">
      <alignment vertical="top"/>
    </xf>
    <xf numFmtId="0" fontId="14" fillId="13" borderId="8" applyAlignment="1" pivotButton="0" quotePrefix="0" xfId="0">
      <alignment vertical="top"/>
    </xf>
    <xf numFmtId="0" fontId="12" fillId="11" borderId="8" applyAlignment="1" pivotButton="0" quotePrefix="0" xfId="0">
      <alignment horizontal="left" vertical="center" wrapText="1"/>
    </xf>
    <xf numFmtId="0" fontId="23" fillId="5" borderId="8" applyAlignment="1" pivotButton="0" quotePrefix="0" xfId="0">
      <alignment horizontal="left" vertical="center"/>
    </xf>
    <xf numFmtId="3" fontId="23" fillId="5" borderId="8" applyAlignment="1" pivotButton="0" quotePrefix="0" xfId="0">
      <alignment horizontal="right" vertical="center"/>
    </xf>
    <xf numFmtId="0" fontId="23" fillId="5" borderId="8" applyAlignment="1" pivotButton="0" quotePrefix="0" xfId="0">
      <alignment horizontal="left" vertical="center" wrapText="1"/>
    </xf>
    <xf numFmtId="3" fontId="23" fillId="5" borderId="8" applyAlignment="1" pivotButton="0" quotePrefix="0" xfId="0">
      <alignment horizontal="right" vertical="center" wrapText="1"/>
    </xf>
    <xf numFmtId="0" fontId="27" fillId="18" borderId="8" applyAlignment="1" pivotButton="0" quotePrefix="0" xfId="0">
      <alignment horizontal="left" vertical="center"/>
    </xf>
    <xf numFmtId="3" fontId="27" fillId="18" borderId="8" applyAlignment="1" pivotButton="0" quotePrefix="0" xfId="0">
      <alignment horizontal="right" vertical="center"/>
    </xf>
    <xf numFmtId="3" fontId="0" fillId="0" borderId="0" pivotButton="0" quotePrefix="0" xfId="0"/>
    <xf numFmtId="0" fontId="12" fillId="11" borderId="8" applyAlignment="1" pivotButton="0" quotePrefix="0" xfId="0">
      <alignment horizontal="right" vertical="center" wrapText="1"/>
    </xf>
    <xf numFmtId="0" fontId="27" fillId="18" borderId="8" applyAlignment="1" pivotButton="0" quotePrefix="0" xfId="0">
      <alignment horizontal="left" vertical="center" wrapText="1"/>
    </xf>
    <xf numFmtId="3" fontId="27" fillId="18" borderId="8" applyAlignment="1" pivotButton="0" quotePrefix="0" xfId="0">
      <alignment horizontal="right" vertical="center" wrapText="1"/>
    </xf>
    <xf numFmtId="0" fontId="27" fillId="6" borderId="8" applyAlignment="1" pivotButton="0" quotePrefix="0" xfId="0">
      <alignment horizontal="left" vertical="center"/>
    </xf>
    <xf numFmtId="3" fontId="27" fillId="6" borderId="8" applyAlignment="1" pivotButton="0" quotePrefix="0" xfId="0">
      <alignment horizontal="right" vertical="center"/>
    </xf>
    <xf numFmtId="0" fontId="12" fillId="11" borderId="8" applyAlignment="1" pivotButton="0" quotePrefix="0" xfId="0">
      <alignment horizontal="left" vertical="center"/>
    </xf>
    <xf numFmtId="0" fontId="12" fillId="11" borderId="8" applyAlignment="1" pivotButton="0" quotePrefix="0" xfId="0">
      <alignment horizontal="right" vertical="center"/>
    </xf>
    <xf numFmtId="0" fontId="23" fillId="19" borderId="8" applyAlignment="1" pivotButton="0" quotePrefix="0" xfId="0">
      <alignment horizontal="left" vertical="center" wrapText="1"/>
    </xf>
    <xf numFmtId="3" fontId="23" fillId="19" borderId="8" applyAlignment="1" pivotButton="0" quotePrefix="0" xfId="0">
      <alignment horizontal="right" vertical="center" wrapText="1"/>
    </xf>
    <xf numFmtId="0" fontId="23" fillId="19" borderId="8" applyAlignment="1" pivotButton="0" quotePrefix="0" xfId="0">
      <alignment horizontal="left" vertical="center"/>
    </xf>
    <xf numFmtId="3" fontId="23" fillId="19" borderId="8" applyAlignment="1" pivotButton="0" quotePrefix="0" xfId="0">
      <alignment horizontal="right" vertical="center"/>
    </xf>
    <xf numFmtId="0" fontId="28" fillId="20" borderId="0" pivotButton="0" quotePrefix="0" xfId="0"/>
    <xf numFmtId="0" fontId="14" fillId="20" borderId="0" pivotButton="0" quotePrefix="0" xfId="0"/>
    <xf numFmtId="167" fontId="8" fillId="0" borderId="0" pivotButton="0" quotePrefix="0" xfId="0"/>
    <xf numFmtId="3" fontId="8" fillId="0" borderId="0" pivotButton="0" quotePrefix="0" xfId="0"/>
    <xf numFmtId="0" fontId="29" fillId="0" borderId="0" pivotButton="0" quotePrefix="0" xfId="0"/>
    <xf numFmtId="0" fontId="23" fillId="21" borderId="8" applyAlignment="1" pivotButton="0" quotePrefix="0" xfId="0">
      <alignment vertical="top"/>
    </xf>
    <xf numFmtId="0" fontId="9" fillId="2" borderId="11" applyAlignment="1" pivotButton="0" quotePrefix="0" xfId="0">
      <alignment vertical="center"/>
    </xf>
    <xf numFmtId="0" fontId="0" fillId="0" borderId="11" applyAlignment="1" pivotButton="0" quotePrefix="0" xfId="0">
      <alignment vertical="center"/>
    </xf>
    <xf numFmtId="0" fontId="10" fillId="0" borderId="11" applyAlignment="1" pivotButton="0" quotePrefix="0" xfId="0">
      <alignment vertical="center"/>
    </xf>
    <xf numFmtId="0" fontId="8" fillId="0" borderId="11" applyAlignment="1" pivotButton="0" quotePrefix="0" xfId="0">
      <alignment vertical="center"/>
    </xf>
    <xf numFmtId="0" fontId="34" fillId="0" borderId="11" applyAlignment="1" pivotButton="0" quotePrefix="0" xfId="0">
      <alignment vertical="center"/>
    </xf>
    <xf numFmtId="164" fontId="0" fillId="0" borderId="11" applyAlignment="1" pivotButton="0" quotePrefix="0" xfId="0">
      <alignment vertical="center"/>
    </xf>
    <xf numFmtId="0" fontId="32" fillId="22" borderId="11" applyAlignment="1" pivotButton="0" quotePrefix="0" xfId="0">
      <alignment vertical="center"/>
    </xf>
    <xf numFmtId="0" fontId="33" fillId="23" borderId="11" applyAlignment="1" pivotButton="0" quotePrefix="0" xfId="0">
      <alignment vertical="center"/>
    </xf>
    <xf numFmtId="164" fontId="33" fillId="23" borderId="11" applyAlignment="1" pivotButton="0" quotePrefix="0" xfId="0">
      <alignment vertical="center"/>
    </xf>
    <xf numFmtId="0" fontId="0" fillId="0" borderId="11" pivotButton="0" quotePrefix="0" xfId="0"/>
    <xf numFmtId="0" fontId="31" fillId="0" borderId="11" applyAlignment="1" pivotButton="0" quotePrefix="0" xfId="0">
      <alignment vertical="center"/>
    </xf>
    <xf numFmtId="0" fontId="0" fillId="0" borderId="12" pivotButton="0" quotePrefix="0" xfId="0"/>
    <xf numFmtId="0" fontId="0" fillId="0" borderId="13" pivotButton="0" quotePrefix="0" xfId="0"/>
    <xf numFmtId="0" fontId="30" fillId="22" borderId="11" applyAlignment="1" pivotButton="0" quotePrefix="0" xfId="0">
      <alignment vertical="center"/>
    </xf>
    <xf numFmtId="0" fontId="22" fillId="4" borderId="0" pivotButton="0" quotePrefix="0" xfId="0"/>
    <xf numFmtId="0" fontId="0" fillId="0" borderId="0" applyAlignment="1" pivotButton="0" quotePrefix="0" xfId="0">
      <alignment wrapText="1"/>
    </xf>
    <xf numFmtId="0" fontId="25" fillId="0" borderId="0" pivotButton="0" quotePrefix="0" xfId="0"/>
    <xf numFmtId="0" fontId="12" fillId="11" borderId="0" pivotButton="0" quotePrefix="0" xfId="0"/>
    <xf numFmtId="0" fontId="24" fillId="11" borderId="0" pivotButton="0" quotePrefix="0" xfId="0"/>
    <xf numFmtId="0" fontId="26" fillId="17" borderId="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8" fillId="0" borderId="0" applyAlignment="1" pivotButton="0" quotePrefix="0" xfId="0">
      <alignment wrapText="1"/>
    </xf>
    <xf numFmtId="9" fontId="0" fillId="0" borderId="11" applyAlignment="1" pivotButton="0" quotePrefix="0" xfId="0">
      <alignment vertical="center"/>
    </xf>
    <xf numFmtId="0" fontId="35" fillId="0" borderId="0" pivotButton="0" quotePrefix="0" xfId="0"/>
    <xf numFmtId="0" fontId="0" fillId="0" borderId="14" applyAlignment="1" pivotButton="0" quotePrefix="0" xfId="0">
      <alignment vertical="center" wrapText="1"/>
    </xf>
    <xf numFmtId="0" fontId="43" fillId="25" borderId="14" applyAlignment="1" pivotButton="0" quotePrefix="0" xfId="0">
      <alignment vertical="center" wrapText="1"/>
    </xf>
    <xf numFmtId="164" fontId="0" fillId="0" borderId="14" applyAlignment="1" pivotButton="0" quotePrefix="0" xfId="0">
      <alignment vertical="center" wrapText="1"/>
    </xf>
    <xf numFmtId="0" fontId="42" fillId="24" borderId="14" applyAlignment="1" pivotButton="0" quotePrefix="0" xfId="0">
      <alignment vertical="center" wrapText="1"/>
    </xf>
    <xf numFmtId="0" fontId="0" fillId="24" borderId="14" applyAlignment="1" pivotButton="0" quotePrefix="0" xfId="0">
      <alignment vertical="center" wrapText="1"/>
    </xf>
    <xf numFmtId="0" fontId="30" fillId="22" borderId="14" applyAlignment="1" pivotButton="0" quotePrefix="0" xfId="0">
      <alignment vertical="center" wrapText="1"/>
    </xf>
    <xf numFmtId="0" fontId="11" fillId="3" borderId="14" applyAlignment="1" pivotButton="0" quotePrefix="0" xfId="0">
      <alignment vertical="center" wrapText="1"/>
    </xf>
    <xf numFmtId="0" fontId="11" fillId="0" borderId="14" applyAlignment="1" pivotButton="0" quotePrefix="0" xfId="0">
      <alignment vertical="center" wrapText="1"/>
    </xf>
    <xf numFmtId="0" fontId="15" fillId="5" borderId="14" applyAlignment="1" pivotButton="0" quotePrefix="0" xfId="0">
      <alignment vertical="center" wrapText="1"/>
    </xf>
    <xf numFmtId="0" fontId="16" fillId="0" borderId="14" applyAlignment="1" pivotButton="0" quotePrefix="0" xfId="0">
      <alignment vertical="center" wrapText="1"/>
    </xf>
    <xf numFmtId="0" fontId="8" fillId="0" borderId="14" applyAlignment="1" pivotButton="0" quotePrefix="0" xfId="0">
      <alignment vertical="center" wrapText="1"/>
    </xf>
    <xf numFmtId="0" fontId="18" fillId="0" borderId="14" applyAlignment="1" pivotButton="0" quotePrefix="0" xfId="0">
      <alignment vertical="center" wrapText="1"/>
    </xf>
    <xf numFmtId="164" fontId="11" fillId="3" borderId="14" applyAlignment="1" pivotButton="0" quotePrefix="0" xfId="0">
      <alignment vertical="center" wrapText="1"/>
    </xf>
    <xf numFmtId="0" fontId="44" fillId="26" borderId="14" applyAlignment="1" pivotButton="0" quotePrefix="0" xfId="0">
      <alignment vertical="center" wrapText="1"/>
    </xf>
    <xf numFmtId="164" fontId="44" fillId="26" borderId="14" applyAlignment="1" pivotButton="0" quotePrefix="0" xfId="0">
      <alignment vertical="center" wrapText="1"/>
    </xf>
    <xf numFmtId="0" fontId="31" fillId="0" borderId="14" applyAlignment="1" pivotButton="0" quotePrefix="0" xfId="0">
      <alignment vertical="center" wrapText="1"/>
    </xf>
    <xf numFmtId="0" fontId="32" fillId="22" borderId="14" applyAlignment="1" pivotButton="0" quotePrefix="0" xfId="0">
      <alignment vertical="center" wrapText="1"/>
    </xf>
    <xf numFmtId="0" fontId="35" fillId="0" borderId="14" applyAlignment="1" pivotButton="0" quotePrefix="0" xfId="0">
      <alignment vertical="center" wrapText="1"/>
    </xf>
    <xf numFmtId="164" fontId="35" fillId="0" borderId="14" applyAlignment="1" pivotButton="0" quotePrefix="0" xfId="0">
      <alignment vertical="center" wrapText="1"/>
    </xf>
    <xf numFmtId="0" fontId="33" fillId="23" borderId="14" applyAlignment="1" pivotButton="0" quotePrefix="0" xfId="0">
      <alignment vertical="center" wrapText="1"/>
    </xf>
    <xf numFmtId="164" fontId="33" fillId="23" borderId="14" applyAlignment="1" pivotButton="0" quotePrefix="0" xfId="0">
      <alignment vertical="center" wrapText="1"/>
    </xf>
    <xf numFmtId="0" fontId="36" fillId="0" borderId="14" applyAlignment="1" pivotButton="0" quotePrefix="0" xfId="0">
      <alignment vertical="center" wrapText="1"/>
    </xf>
    <xf numFmtId="0" fontId="33" fillId="0" borderId="14" applyAlignment="1" pivotButton="0" quotePrefix="0" xfId="0">
      <alignment vertical="center" wrapText="1"/>
    </xf>
    <xf numFmtId="0" fontId="37" fillId="0" borderId="14" applyAlignment="1" pivotButton="0" quotePrefix="0" xfId="0">
      <alignment vertical="center" wrapText="1"/>
    </xf>
    <xf numFmtId="0" fontId="38" fillId="0" borderId="14" applyAlignment="1" pivotButton="0" quotePrefix="0" xfId="0">
      <alignment vertical="center" wrapText="1"/>
    </xf>
    <xf numFmtId="0" fontId="39" fillId="0" borderId="14" applyAlignment="1" pivotButton="0" quotePrefix="0" xfId="0">
      <alignment vertical="center" wrapText="1"/>
    </xf>
    <xf numFmtId="0" fontId="40" fillId="0" borderId="14" applyAlignment="1" pivotButton="0" quotePrefix="0" xfId="0">
      <alignment vertical="center" wrapText="1"/>
    </xf>
    <xf numFmtId="0" fontId="41" fillId="0" borderId="14" applyAlignment="1" pivotButton="0" quotePrefix="0" xfId="0">
      <alignment vertical="center" wrapText="1"/>
    </xf>
    <xf numFmtId="0" fontId="34" fillId="0" borderId="14" applyAlignment="1" pivotButton="0" quotePrefix="0" xfId="0">
      <alignment vertical="center" wrapText="1"/>
    </xf>
    <xf numFmtId="0" fontId="12" fillId="4" borderId="14" applyAlignment="1" pivotButton="0" quotePrefix="0" xfId="0">
      <alignment vertical="center" wrapText="1"/>
    </xf>
    <xf numFmtId="0" fontId="13" fillId="9" borderId="14" applyAlignment="1" pivotButton="0" quotePrefix="0" xfId="0">
      <alignment vertical="center" wrapText="1"/>
    </xf>
    <xf numFmtId="164" fontId="8" fillId="0" borderId="14" applyAlignment="1" pivotButton="0" quotePrefix="0" xfId="0">
      <alignment vertical="center" wrapText="1"/>
    </xf>
    <xf numFmtId="0" fontId="19" fillId="3" borderId="14" applyAlignment="1" pivotButton="0" quotePrefix="0" xfId="0">
      <alignment vertical="center" wrapText="1"/>
    </xf>
    <xf numFmtId="164" fontId="15" fillId="0" borderId="14" applyAlignment="1" pivotButton="0" quotePrefix="0" xfId="0">
      <alignment vertical="center" wrapText="1"/>
    </xf>
    <xf numFmtId="0" fontId="13" fillId="0" borderId="14" applyAlignment="1" pivotButton="0" quotePrefix="0" xfId="0">
      <alignment vertical="center" wrapText="1"/>
    </xf>
    <xf numFmtId="0" fontId="12" fillId="11" borderId="14" applyAlignment="1" pivotButton="0" quotePrefix="0" xfId="0">
      <alignment vertical="center" wrapText="1"/>
    </xf>
    <xf numFmtId="0" fontId="26" fillId="17" borderId="14" applyAlignment="1" pivotButton="0" quotePrefix="0" xfId="0">
      <alignment vertical="center" wrapText="1"/>
    </xf>
    <xf numFmtId="0" fontId="12" fillId="12" borderId="14" applyAlignment="1" pivotButton="0" quotePrefix="0" xfId="0">
      <alignment vertical="center" wrapText="1"/>
    </xf>
    <xf numFmtId="0" fontId="23" fillId="5" borderId="14" applyAlignment="1" pivotButton="0" quotePrefix="0" xfId="0">
      <alignment vertical="center" wrapText="1"/>
    </xf>
    <xf numFmtId="164" fontId="23" fillId="5" borderId="14" applyAlignment="1" pivotButton="0" quotePrefix="0" xfId="0">
      <alignment vertical="center" wrapText="1"/>
    </xf>
    <xf numFmtId="0" fontId="27" fillId="18" borderId="14" applyAlignment="1" pivotButton="0" quotePrefix="0" xfId="0">
      <alignment vertical="center" wrapText="1"/>
    </xf>
    <xf numFmtId="164" fontId="27" fillId="18" borderId="14" applyAlignment="1" pivotButton="0" quotePrefix="0" xfId="0">
      <alignment vertical="center" wrapText="1"/>
    </xf>
    <xf numFmtId="3" fontId="0" fillId="0" borderId="14" applyAlignment="1" pivotButton="0" quotePrefix="0" xfId="0">
      <alignment vertical="center" wrapText="1"/>
    </xf>
    <xf numFmtId="0" fontId="27" fillId="6" borderId="14" applyAlignment="1" pivotButton="0" quotePrefix="0" xfId="0">
      <alignment vertical="center" wrapText="1"/>
    </xf>
    <xf numFmtId="164" fontId="27" fillId="6" borderId="14" applyAlignment="1" pivotButton="0" quotePrefix="0" xfId="0">
      <alignment vertical="center" wrapText="1"/>
    </xf>
    <xf numFmtId="0" fontId="23" fillId="19" borderId="14" applyAlignment="1" pivotButton="0" quotePrefix="0" xfId="0">
      <alignment vertical="center" wrapText="1"/>
    </xf>
    <xf numFmtId="164" fontId="23" fillId="19" borderId="14" applyAlignment="1" pivotButton="0" quotePrefix="0" xfId="0">
      <alignment vertical="center" wrapText="1"/>
    </xf>
    <xf numFmtId="0" fontId="28" fillId="20" borderId="14" applyAlignment="1" pivotButton="0" quotePrefix="0" xfId="0">
      <alignment vertical="center" wrapText="1"/>
    </xf>
    <xf numFmtId="0" fontId="14" fillId="20" borderId="14" applyAlignment="1" pivotButton="0" quotePrefix="0" xfId="0">
      <alignment vertical="center" wrapText="1"/>
    </xf>
    <xf numFmtId="0" fontId="29" fillId="0" borderId="14" applyAlignment="1" pivotButton="0" quotePrefix="0" xfId="0">
      <alignment vertical="center" wrapText="1"/>
    </xf>
    <xf numFmtId="0" fontId="23" fillId="21" borderId="14" applyAlignment="1" pivotButton="0" quotePrefix="0" xfId="0">
      <alignment vertical="center" wrapText="1"/>
    </xf>
    <xf numFmtId="164" fontId="15" fillId="5" borderId="14" applyAlignment="1" pivotButton="0" quotePrefix="0" xfId="0">
      <alignment vertical="center" wrapText="1"/>
    </xf>
    <xf numFmtId="0" fontId="11" fillId="10" borderId="14" applyAlignment="1" pivotButton="0" quotePrefix="0" xfId="0">
      <alignment vertical="center" wrapText="1"/>
    </xf>
    <xf numFmtId="0" fontId="15" fillId="0" borderId="14" applyAlignment="1" pivotButton="0" quotePrefix="0" xfId="0">
      <alignment vertical="center" wrapText="1"/>
    </xf>
    <xf numFmtId="0" fontId="20" fillId="0" borderId="14" applyAlignment="1" pivotButton="0" quotePrefix="0" xfId="0">
      <alignment vertical="center" wrapText="1"/>
    </xf>
    <xf numFmtId="0" fontId="5" fillId="0" borderId="14" applyAlignment="1" pivotButton="0" quotePrefix="0" xfId="0">
      <alignment vertical="center" wrapText="1"/>
    </xf>
    <xf numFmtId="0" fontId="21" fillId="0" borderId="14" applyAlignment="1" pivotButton="0" quotePrefix="0" xfId="0">
      <alignment vertical="center" wrapText="1"/>
    </xf>
    <xf numFmtId="0" fontId="0" fillId="0" borderId="17" pivotButton="0" quotePrefix="0" xfId="0"/>
    <xf numFmtId="0" fontId="0" fillId="0" borderId="18" pivotButton="0" quotePrefix="0" xfId="0"/>
    <xf numFmtId="164" fontId="0" fillId="0" borderId="14" applyAlignment="1" applyProtection="1" pivotButton="0" quotePrefix="0" xfId="0">
      <alignment vertical="center" wrapText="1"/>
      <protection locked="0" hidden="0"/>
    </xf>
    <xf numFmtId="0" fontId="0" fillId="0" borderId="14" applyAlignment="1" applyProtection="1" pivotButton="0" quotePrefix="0" xfId="0">
      <alignment vertical="center" wrapText="1"/>
      <protection locked="0" hidden="0"/>
    </xf>
    <xf numFmtId="0" fontId="8" fillId="0" borderId="14" applyAlignment="1" applyProtection="1" pivotButton="0" quotePrefix="0" xfId="0">
      <alignment vertical="center" wrapText="1"/>
      <protection locked="0" hidden="0"/>
    </xf>
    <xf numFmtId="164" fontId="11" fillId="3" borderId="14" applyAlignment="1" applyProtection="1" pivotButton="0" quotePrefix="0" xfId="0">
      <alignment vertical="center" wrapText="1"/>
      <protection locked="0" hidden="0"/>
    </xf>
    <xf numFmtId="0" fontId="0" fillId="24" borderId="14" applyAlignment="1" applyProtection="1" pivotButton="0" quotePrefix="0" xfId="0">
      <alignment vertical="center" wrapText="1"/>
      <protection locked="0" hidden="0"/>
    </xf>
    <xf numFmtId="0" fontId="43" fillId="25" borderId="14" applyAlignment="1" applyProtection="1" pivotButton="0" quotePrefix="0" xfId="0">
      <alignment vertical="center" wrapText="1"/>
      <protection locked="0" hidden="0"/>
    </xf>
    <xf numFmtId="0" fontId="44" fillId="26" borderId="14" applyAlignment="1" applyProtection="1" pivotButton="0" quotePrefix="0" xfId="0">
      <alignment vertical="center" wrapText="1"/>
      <protection locked="0" hidden="0"/>
    </xf>
    <xf numFmtId="0" fontId="12" fillId="4" borderId="14" applyAlignment="1" applyProtection="1" pivotButton="0" quotePrefix="0" xfId="0">
      <alignment vertical="center" wrapText="1"/>
      <protection locked="0" hidden="0"/>
    </xf>
    <xf numFmtId="0" fontId="16" fillId="0" borderId="14" applyAlignment="1" applyProtection="1" pivotButton="0" quotePrefix="0" xfId="0">
      <alignment vertical="center" wrapText="1"/>
      <protection locked="0" hidden="0"/>
    </xf>
    <xf numFmtId="0" fontId="11" fillId="3" borderId="14" applyAlignment="1" applyProtection="1" pivotButton="0" quotePrefix="0" xfId="0">
      <alignment vertical="center" wrapText="1"/>
      <protection locked="0" hidden="0"/>
    </xf>
    <xf numFmtId="0" fontId="13" fillId="9" borderId="14" applyAlignment="1" applyProtection="1" pivotButton="0" quotePrefix="0" xfId="0">
      <alignment vertical="center" wrapText="1"/>
      <protection locked="0" hidden="0"/>
    </xf>
    <xf numFmtId="0" fontId="42" fillId="24" borderId="14" applyAlignment="1" applyProtection="1" pivotButton="0" quotePrefix="0" xfId="0">
      <alignment vertical="center" wrapText="1"/>
      <protection locked="0" hidden="0"/>
    </xf>
    <xf numFmtId="0" fontId="10" fillId="0" borderId="14" applyAlignment="1" applyProtection="1" pivotButton="0" quotePrefix="0" xfId="0">
      <alignment vertical="center" wrapText="1"/>
      <protection locked="0" hidden="0"/>
    </xf>
    <xf numFmtId="0" fontId="7" fillId="0" borderId="14" applyAlignment="1" applyProtection="1" pivotButton="0" quotePrefix="0" xfId="0">
      <alignment vertical="center" wrapText="1"/>
      <protection locked="0" hidden="0"/>
    </xf>
    <xf numFmtId="0" fontId="22" fillId="4" borderId="14" applyAlignment="1" applyProtection="1" pivotButton="0" quotePrefix="0" xfId="0">
      <alignment vertical="center" wrapText="1"/>
      <protection locked="0" hidden="0"/>
    </xf>
    <xf numFmtId="0" fontId="15" fillId="5" borderId="14" applyAlignment="1" applyProtection="1" pivotButton="0" quotePrefix="0" xfId="0">
      <alignment vertical="center" wrapText="1"/>
      <protection locked="0" hidden="0"/>
    </xf>
    <xf numFmtId="164" fontId="15" fillId="6" borderId="14" applyAlignment="1" applyProtection="1" pivotButton="0" quotePrefix="0" xfId="0">
      <alignment vertical="center" wrapText="1"/>
      <protection locked="0" hidden="0"/>
    </xf>
    <xf numFmtId="0" fontId="23" fillId="0" borderId="14" applyAlignment="1" applyProtection="1" pivotButton="0" quotePrefix="0" xfId="0">
      <alignment vertical="center" wrapText="1"/>
      <protection locked="0" hidden="0"/>
    </xf>
    <xf numFmtId="168" fontId="0" fillId="0" borderId="14" applyAlignment="1" applyProtection="1" pivotButton="0" quotePrefix="0" xfId="0">
      <alignment vertical="center" wrapText="1"/>
      <protection locked="0" hidden="0"/>
    </xf>
    <xf numFmtId="168" fontId="11" fillId="3" borderId="14" applyAlignment="1" pivotButton="0" quotePrefix="0" xfId="0">
      <alignment vertical="center" wrapText="1"/>
    </xf>
    <xf numFmtId="168" fontId="0" fillId="0" borderId="14" applyAlignment="1" pivotButton="0" quotePrefix="0" xfId="0">
      <alignment vertical="center" wrapText="1"/>
    </xf>
    <xf numFmtId="168" fontId="44" fillId="26" borderId="14" applyAlignment="1" applyProtection="1" pivotButton="0" quotePrefix="0" xfId="0">
      <alignment vertical="center" wrapText="1"/>
      <protection locked="0" hidden="0"/>
    </xf>
    <xf numFmtId="168" fontId="44" fillId="26" borderId="14" applyAlignment="1" pivotButton="0" quotePrefix="0" xfId="0">
      <alignment vertical="center" wrapText="1"/>
    </xf>
    <xf numFmtId="0" fontId="44" fillId="24" borderId="14" applyAlignment="1" pivotButton="0" quotePrefix="0" xfId="0">
      <alignment vertical="center" wrapText="1"/>
    </xf>
    <xf numFmtId="168" fontId="0" fillId="24" borderId="14" applyAlignment="1" applyProtection="1" pivotButton="0" quotePrefix="0" xfId="0">
      <alignment vertical="center" wrapText="1"/>
      <protection locked="0" hidden="0"/>
    </xf>
    <xf numFmtId="168" fontId="35" fillId="0" borderId="14" applyAlignment="1" pivotButton="0" quotePrefix="0" xfId="0">
      <alignment vertical="center" wrapText="1"/>
    </xf>
    <xf numFmtId="168" fontId="0" fillId="26" borderId="14" applyAlignment="1" pivotButton="0" quotePrefix="0" xfId="0">
      <alignment vertical="center" wrapText="1"/>
    </xf>
    <xf numFmtId="168" fontId="33" fillId="26" borderId="14" applyAlignment="1" pivotButton="0" quotePrefix="0" xfId="0">
      <alignment vertical="center" wrapText="1"/>
    </xf>
    <xf numFmtId="168" fontId="35" fillId="24" borderId="14" applyAlignment="1" pivotButton="0" quotePrefix="0" xfId="0">
      <alignment vertical="center" wrapText="1"/>
    </xf>
    <xf numFmtId="168" fontId="0" fillId="24" borderId="14" applyAlignment="1" pivotButton="0" quotePrefix="0" xfId="0">
      <alignment vertical="center" wrapText="1"/>
    </xf>
    <xf numFmtId="168" fontId="36" fillId="0" borderId="14" applyAlignment="1" applyProtection="1" pivotButton="0" quotePrefix="0" xfId="0">
      <alignment vertical="center" wrapText="1"/>
      <protection locked="0" hidden="0"/>
    </xf>
    <xf numFmtId="168" fontId="36" fillId="0" borderId="14" applyAlignment="1" pivotButton="0" quotePrefix="0" xfId="0">
      <alignment vertical="center" wrapText="1"/>
    </xf>
    <xf numFmtId="168" fontId="41" fillId="0" borderId="14" applyAlignment="1" pivotButton="0" quotePrefix="0" xfId="0">
      <alignment vertical="center" wrapText="1"/>
    </xf>
    <xf numFmtId="168" fontId="15" fillId="5" borderId="14" applyAlignment="1" pivotButton="0" quotePrefix="0" xfId="0">
      <alignment vertical="center" wrapText="1"/>
    </xf>
    <xf numFmtId="168" fontId="0" fillId="27" borderId="14" applyAlignment="1" pivotButton="0" quotePrefix="0" xfId="0">
      <alignment vertical="center" wrapText="1"/>
    </xf>
    <xf numFmtId="164" fontId="33" fillId="29" borderId="14" applyAlignment="1" pivotButton="0" quotePrefix="0" xfId="0">
      <alignment vertical="center" wrapText="1"/>
    </xf>
    <xf numFmtId="0" fontId="0" fillId="28" borderId="0" pivotButton="0" quotePrefix="0" xfId="0"/>
    <xf numFmtId="0" fontId="43" fillId="30" borderId="0" pivotButton="0" quotePrefix="0" xfId="0"/>
    <xf numFmtId="0" fontId="45" fillId="25" borderId="0" pivotButton="0" quotePrefix="0" xfId="0"/>
    <xf numFmtId="0" fontId="47" fillId="0" borderId="0" pivotButton="0" quotePrefix="0" xfId="0"/>
    <xf numFmtId="168" fontId="17" fillId="6" borderId="14" applyAlignment="1" pivotButton="0" quotePrefix="0" xfId="0">
      <alignment vertical="center" wrapText="1"/>
    </xf>
    <xf numFmtId="168" fontId="17" fillId="27" borderId="14" applyAlignment="1" pivotButton="0" quotePrefix="0" xfId="0">
      <alignment vertical="center" wrapText="1"/>
    </xf>
    <xf numFmtId="0" fontId="0" fillId="0" borderId="0" pivotButton="0" quotePrefix="0" xfId="0"/>
    <xf numFmtId="0" fontId="48" fillId="25" borderId="0" pivotButton="0" quotePrefix="0" xfId="0"/>
    <xf numFmtId="0" fontId="0" fillId="0" borderId="14" applyAlignment="1" pivotButton="0" quotePrefix="0" xfId="0">
      <alignment vertical="center" wrapText="1"/>
    </xf>
    <xf numFmtId="0" fontId="0" fillId="0" borderId="15" pivotButton="0" quotePrefix="0" xfId="0"/>
    <xf numFmtId="0" fontId="0" fillId="0" borderId="16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23" pivotButton="0" quotePrefix="0" xfId="0"/>
    <xf numFmtId="0" fontId="46" fillId="0" borderId="14" applyAlignment="1" pivotButton="0" quotePrefix="0" xfId="0">
      <alignment vertical="center" wrapText="1"/>
    </xf>
    <xf numFmtId="0" fontId="0" fillId="0" borderId="17" pivotButton="0" quotePrefix="0" xfId="0"/>
    <xf numFmtId="0" fontId="0" fillId="0" borderId="18" pivotButton="0" quotePrefix="0" xfId="0"/>
    <xf numFmtId="0" fontId="45" fillId="25" borderId="14" applyAlignment="1" pivotButton="0" quotePrefix="0" xfId="0">
      <alignment vertical="center" wrapText="1"/>
    </xf>
    <xf numFmtId="0" fontId="30" fillId="22" borderId="14" applyAlignment="1" pivotButton="0" quotePrefix="0" xfId="0">
      <alignment vertical="center" wrapText="1"/>
    </xf>
    <xf numFmtId="0" fontId="30" fillId="22" borderId="11" applyAlignment="1" pivotButton="0" quotePrefix="0" xfId="0">
      <alignment vertical="center"/>
    </xf>
    <xf numFmtId="0" fontId="0" fillId="0" borderId="12" pivotButton="0" quotePrefix="0" xfId="0"/>
    <xf numFmtId="0" fontId="0" fillId="0" borderId="13" pivotButton="0" quotePrefix="0" xfId="0"/>
    <xf numFmtId="0" fontId="31" fillId="0" borderId="14" applyAlignment="1" pivotButton="0" quotePrefix="0" xfId="0">
      <alignment vertical="center" wrapText="1"/>
    </xf>
    <xf numFmtId="0" fontId="31" fillId="0" borderId="11" applyAlignment="1" pivotButton="0" quotePrefix="0" xfId="0">
      <alignment vertical="center"/>
    </xf>
    <xf numFmtId="0" fontId="46" fillId="0" borderId="14" applyAlignment="1" applyProtection="1" pivotButton="0" quotePrefix="0" xfId="0">
      <alignment vertical="center" wrapText="1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45" fillId="25" borderId="14" applyAlignment="1" applyProtection="1" pivotButton="0" quotePrefix="0" xfId="0">
      <alignment vertical="center" wrapText="1"/>
      <protection locked="0" hidden="0"/>
    </xf>
    <xf numFmtId="169" fontId="0" fillId="0" borderId="14" applyAlignment="1" pivotButton="0" quotePrefix="0" xfId="0">
      <alignment vertical="center" wrapText="1"/>
    </xf>
    <xf numFmtId="0" fontId="49" fillId="32" borderId="0" pivotButton="0" quotePrefix="0" xfId="0"/>
    <xf numFmtId="0" fontId="49" fillId="32" borderId="0" applyAlignment="1" pivotButton="0" quotePrefix="0" xfId="0">
      <alignment horizontal="center"/>
    </xf>
    <xf numFmtId="0" fontId="0" fillId="33" borderId="0" pivotButton="0" quotePrefix="0" xfId="0"/>
    <xf numFmtId="0" fontId="0" fillId="34" borderId="0" pivotButton="0" quotePrefix="0" xfId="0"/>
    <xf numFmtId="0" fontId="30" fillId="22" borderId="14" applyAlignment="1" pivotButton="0" quotePrefix="0" xfId="0">
      <alignment vertical="center"/>
    </xf>
    <xf numFmtId="0" fontId="31" fillId="0" borderId="14" applyAlignment="1" pivotButton="0" quotePrefix="0" xfId="0">
      <alignment vertical="center"/>
    </xf>
    <xf numFmtId="0" fontId="43" fillId="31" borderId="0" pivotButton="0" quotePrefix="0" xfId="0"/>
    <xf numFmtId="0" fontId="0" fillId="31" borderId="0" pivotButton="0" quotePrefix="0" xfId="0"/>
    <xf numFmtId="0" fontId="11" fillId="31" borderId="1" pivotButton="0" quotePrefix="0" xfId="0"/>
    <xf numFmtId="0" fontId="0" fillId="31" borderId="1" pivotButton="0" quotePrefix="0" xfId="0"/>
    <xf numFmtId="0" fontId="13" fillId="31" borderId="2" pivotButton="0" quotePrefix="0" xfId="0"/>
    <xf numFmtId="0" fontId="16" fillId="31" borderId="2" pivotButton="0" quotePrefix="0" xfId="0"/>
    <xf numFmtId="0" fontId="0" fillId="31" borderId="2" pivotButton="0" quotePrefix="0" xfId="0"/>
    <xf numFmtId="164" fontId="0" fillId="31" borderId="1" pivotButton="0" quotePrefix="0" xfId="0"/>
    <xf numFmtId="0" fontId="15" fillId="31" borderId="1" pivotButton="0" quotePrefix="0" xfId="0"/>
    <xf numFmtId="0" fontId="8" fillId="31" borderId="0" pivotButton="0" quotePrefix="0" xfId="0"/>
    <xf numFmtId="0" fontId="13" fillId="31" borderId="5" pivotButton="0" quotePrefix="0" xfId="0"/>
    <xf numFmtId="0" fontId="16" fillId="31" borderId="5" pivotButton="0" quotePrefix="0" xfId="0"/>
    <xf numFmtId="0" fontId="0" fillId="31" borderId="5" pivotButton="0" quotePrefix="0" xfId="0"/>
    <xf numFmtId="0" fontId="11" fillId="31" borderId="3" pivotButton="0" quotePrefix="0" xfId="0"/>
    <xf numFmtId="0" fontId="11" fillId="31" borderId="0" pivotButton="0" quotePrefix="0" xfId="0"/>
    <xf numFmtId="0" fontId="0" fillId="31" borderId="3" pivotButton="0" quotePrefix="0" xfId="0"/>
    <xf numFmtId="164" fontId="0" fillId="31" borderId="3" pivotButton="0" quotePrefix="0" xfId="0"/>
    <xf numFmtId="164" fontId="0" fillId="31" borderId="0" pivotButton="0" quotePrefix="0" xfId="0"/>
    <xf numFmtId="0" fontId="11" fillId="31" borderId="3" applyAlignment="1" pivotButton="0" quotePrefix="0" xfId="0">
      <alignment horizontal="right"/>
    </xf>
    <xf numFmtId="164" fontId="0" fillId="31" borderId="1" applyAlignment="1" pivotButton="0" quotePrefix="0" xfId="0">
      <alignment horizontal="right"/>
    </xf>
    <xf numFmtId="0" fontId="8" fillId="31" borderId="3" pivotButton="0" quotePrefix="0" xfId="0"/>
    <xf numFmtId="0" fontId="0" fillId="31" borderId="3" applyAlignment="1" pivotButton="0" quotePrefix="0" xfId="0">
      <alignment horizontal="right"/>
    </xf>
    <xf numFmtId="164" fontId="0" fillId="31" borderId="3" applyAlignment="1" pivotButton="0" quotePrefix="0" xfId="0">
      <alignment horizontal="right"/>
    </xf>
    <xf numFmtId="164" fontId="0" fillId="31" borderId="6" applyAlignment="1" pivotButton="0" quotePrefix="0" xfId="0">
      <alignment horizontal="right"/>
    </xf>
    <xf numFmtId="0" fontId="0" fillId="31" borderId="0" applyAlignment="1" pivotButton="0" quotePrefix="0" xfId="0">
      <alignment horizontal="right"/>
    </xf>
    <xf numFmtId="164" fontId="0" fillId="31" borderId="0" applyAlignment="1" pivotButton="0" quotePrefix="0" xfId="0">
      <alignment horizontal="right"/>
    </xf>
    <xf numFmtId="164" fontId="0" fillId="31" borderId="6" pivotButton="0" quotePrefix="0" xfId="0"/>
    <xf numFmtId="164" fontId="0" fillId="31" borderId="7" pivotButton="0" quotePrefix="0" xfId="0"/>
    <xf numFmtId="0" fontId="24" fillId="31" borderId="0" pivotButton="0" quotePrefix="0" xfId="0"/>
    <xf numFmtId="0" fontId="25" fillId="31" borderId="0" pivotButton="0" quotePrefix="0" xfId="0"/>
    <xf numFmtId="0" fontId="12" fillId="31" borderId="8" applyAlignment="1" pivotButton="0" quotePrefix="0" xfId="0">
      <alignment horizontal="center" vertical="center" wrapText="1"/>
    </xf>
    <xf numFmtId="0" fontId="0" fillId="31" borderId="8" applyAlignment="1" pivotButton="0" quotePrefix="0" xfId="0">
      <alignment vertical="top"/>
    </xf>
    <xf numFmtId="0" fontId="7" fillId="31" borderId="8" applyAlignment="1" pivotButton="0" quotePrefix="0" xfId="0">
      <alignment vertical="top"/>
    </xf>
    <xf numFmtId="0" fontId="8" fillId="31" borderId="8" applyAlignment="1" pivotButton="0" quotePrefix="0" xfId="0">
      <alignment vertical="top"/>
    </xf>
    <xf numFmtId="4" fontId="0" fillId="31" borderId="8" applyAlignment="1" pivotButton="0" quotePrefix="0" xfId="0">
      <alignment vertical="top"/>
    </xf>
    <xf numFmtId="0" fontId="14" fillId="31" borderId="8" applyAlignment="1" pivotButton="0" quotePrefix="0" xfId="0">
      <alignment vertical="top"/>
    </xf>
    <xf numFmtId="0" fontId="12" fillId="31" borderId="0" pivotButton="0" quotePrefix="0" xfId="0"/>
    <xf numFmtId="0" fontId="15" fillId="31" borderId="0" pivotButton="0" quotePrefix="0" xfId="0"/>
    <xf numFmtId="0" fontId="12" fillId="31" borderId="8" applyAlignment="1" pivotButton="0" quotePrefix="0" xfId="0">
      <alignment horizontal="left" vertical="center" wrapText="1"/>
    </xf>
    <xf numFmtId="0" fontId="0" fillId="31" borderId="9" pivotButton="0" quotePrefix="0" xfId="0"/>
    <xf numFmtId="0" fontId="0" fillId="31" borderId="10" pivotButton="0" quotePrefix="0" xfId="0"/>
    <xf numFmtId="0" fontId="26" fillId="31" borderId="8" applyAlignment="1" pivotButton="0" quotePrefix="0" xfId="0">
      <alignment horizontal="left" vertical="center" wrapText="1"/>
    </xf>
    <xf numFmtId="0" fontId="23" fillId="31" borderId="8" applyAlignment="1" pivotButton="0" quotePrefix="0" xfId="0">
      <alignment horizontal="left" vertical="center"/>
    </xf>
    <xf numFmtId="3" fontId="23" fillId="31" borderId="8" applyAlignment="1" pivotButton="0" quotePrefix="0" xfId="0">
      <alignment horizontal="right" vertical="center"/>
    </xf>
    <xf numFmtId="0" fontId="23" fillId="31" borderId="8" applyAlignment="1" pivotButton="0" quotePrefix="0" xfId="0">
      <alignment horizontal="left" vertical="center" wrapText="1"/>
    </xf>
    <xf numFmtId="3" fontId="23" fillId="31" borderId="8" applyAlignment="1" pivotButton="0" quotePrefix="0" xfId="0">
      <alignment horizontal="right" vertical="center" wrapText="1"/>
    </xf>
    <xf numFmtId="0" fontId="27" fillId="31" borderId="8" applyAlignment="1" pivotButton="0" quotePrefix="0" xfId="0">
      <alignment horizontal="left" vertical="center"/>
    </xf>
    <xf numFmtId="3" fontId="27" fillId="31" borderId="8" applyAlignment="1" pivotButton="0" quotePrefix="0" xfId="0">
      <alignment horizontal="right" vertical="center"/>
    </xf>
    <xf numFmtId="0" fontId="12" fillId="31" borderId="8" applyAlignment="1" pivotButton="0" quotePrefix="0" xfId="0">
      <alignment horizontal="right" vertical="center" wrapText="1"/>
    </xf>
    <xf numFmtId="0" fontId="27" fillId="31" borderId="8" applyAlignment="1" pivotButton="0" quotePrefix="0" xfId="0">
      <alignment horizontal="left" vertical="center" wrapText="1"/>
    </xf>
    <xf numFmtId="3" fontId="27" fillId="31" borderId="8" applyAlignment="1" pivotButton="0" quotePrefix="0" xfId="0">
      <alignment horizontal="right" vertical="center" wrapText="1"/>
    </xf>
    <xf numFmtId="0" fontId="12" fillId="31" borderId="8" applyAlignment="1" pivotButton="0" quotePrefix="0" xfId="0">
      <alignment horizontal="left" vertical="center"/>
    </xf>
    <xf numFmtId="0" fontId="12" fillId="31" borderId="8" applyAlignment="1" pivotButton="0" quotePrefix="0" xfId="0">
      <alignment horizontal="right" vertical="center"/>
    </xf>
    <xf numFmtId="0" fontId="28" fillId="31" borderId="0" pivotButton="0" quotePrefix="0" xfId="0"/>
    <xf numFmtId="0" fontId="14" fillId="31" borderId="0" pivotButton="0" quotePrefix="0" xfId="0"/>
    <xf numFmtId="167" fontId="8" fillId="31" borderId="0" pivotButton="0" quotePrefix="0" xfId="0"/>
    <xf numFmtId="3" fontId="8" fillId="31" borderId="0" pivotButton="0" quotePrefix="0" xfId="0"/>
    <xf numFmtId="0" fontId="29" fillId="31" borderId="0" pivotButton="0" quotePrefix="0" xfId="0"/>
    <xf numFmtId="0" fontId="0" fillId="31" borderId="0" applyAlignment="1" pivotButton="0" quotePrefix="0" xfId="0">
      <alignment wrapText="1"/>
    </xf>
    <xf numFmtId="0" fontId="8" fillId="31" borderId="0" applyAlignment="1" pivotButton="0" quotePrefix="0" xfId="0">
      <alignment wrapText="1"/>
    </xf>
    <xf numFmtId="0" fontId="23" fillId="31" borderId="8" applyAlignment="1" pivotButton="0" quotePrefix="0" xfId="0">
      <alignment vertical="top"/>
    </xf>
    <xf numFmtId="0" fontId="1" fillId="31" borderId="0" pivotButton="0" quotePrefix="0" xfId="0"/>
    <xf numFmtId="0" fontId="2" fillId="31" borderId="0" pivotButton="0" quotePrefix="0" xfId="0"/>
    <xf numFmtId="0" fontId="3" fillId="31" borderId="0" pivotButton="0" quotePrefix="0" xfId="0"/>
    <xf numFmtId="0" fontId="4" fillId="31" borderId="0" pivotButton="0" quotePrefix="0" xfId="0"/>
    <xf numFmtId="0" fontId="5" fillId="31" borderId="0" pivotButton="0" quotePrefix="0" xfId="0"/>
    <xf numFmtId="49" fontId="2" fillId="31" borderId="0" applyAlignment="1" pivotButton="0" quotePrefix="0" xfId="0">
      <alignment horizontal="left"/>
    </xf>
    <xf numFmtId="49" fontId="2" fillId="31" borderId="0" pivotButton="0" quotePrefix="0" xfId="0"/>
    <xf numFmtId="0" fontId="6" fillId="31" borderId="0" pivotButton="0" quotePrefix="0" xfId="0"/>
    <xf numFmtId="0" fontId="8" fillId="31" borderId="1" pivotButton="0" quotePrefix="0" xfId="0"/>
    <xf numFmtId="0" fontId="13" fillId="31" borderId="0" pivotButton="0" quotePrefix="0" xfId="0"/>
    <xf numFmtId="0" fontId="12" fillId="31" borderId="2" pivotButton="0" quotePrefix="0" xfId="0"/>
    <xf numFmtId="0" fontId="9" fillId="31" borderId="11" applyAlignment="1" pivotButton="0" quotePrefix="0" xfId="0">
      <alignment vertical="center"/>
    </xf>
    <xf numFmtId="0" fontId="0" fillId="31" borderId="11" applyAlignment="1" pivotButton="0" quotePrefix="0" xfId="0">
      <alignment vertical="center"/>
    </xf>
    <xf numFmtId="0" fontId="10" fillId="31" borderId="11" applyAlignment="1" pivotButton="0" quotePrefix="0" xfId="0">
      <alignment vertical="center"/>
    </xf>
    <xf numFmtId="0" fontId="8" fillId="31" borderId="11" applyAlignment="1" pivotButton="0" quotePrefix="0" xfId="0">
      <alignment vertical="center"/>
    </xf>
    <xf numFmtId="9" fontId="0" fillId="31" borderId="11" applyAlignment="1" pivotButton="0" quotePrefix="0" xfId="0">
      <alignment vertical="center"/>
    </xf>
    <xf numFmtId="0" fontId="34" fillId="31" borderId="11" applyAlignment="1" pivotButton="0" quotePrefix="0" xfId="0">
      <alignment vertical="center"/>
    </xf>
    <xf numFmtId="164" fontId="0" fillId="31" borderId="11" applyAlignment="1" pivotButton="0" quotePrefix="0" xfId="0">
      <alignment vertical="center"/>
    </xf>
    <xf numFmtId="0" fontId="0" fillId="31" borderId="11" pivotButton="0" quotePrefix="0" xfId="0"/>
    <xf numFmtId="0" fontId="11" fillId="31" borderId="1" applyAlignment="1" pivotButton="0" quotePrefix="0" xfId="0">
      <alignment horizontal="right"/>
    </xf>
    <xf numFmtId="4" fontId="0" fillId="31" borderId="1" pivotButton="0" quotePrefix="0" xfId="0"/>
    <xf numFmtId="0" fontId="7" fillId="31" borderId="0" pivotButton="0" quotePrefix="0" xfId="0"/>
    <xf numFmtId="0" fontId="22" fillId="31" borderId="0" pivotButton="0" quotePrefix="0" xfId="0"/>
    <xf numFmtId="165" fontId="0" fillId="31" borderId="1" pivotButton="0" quotePrefix="0" xfId="0"/>
    <xf numFmtId="166" fontId="15" fillId="31" borderId="1" pivotButton="0" quotePrefix="0" xfId="0"/>
    <xf numFmtId="3" fontId="0" fillId="31" borderId="1" pivotButton="0" quotePrefix="0" xfId="0"/>
    <xf numFmtId="3" fontId="15" fillId="31" borderId="1" pivotButton="0" quotePrefix="0" xfId="0"/>
    <xf numFmtId="4" fontId="15" fillId="31" borderId="1" pivotButton="0" quotePrefix="0" xfId="0"/>
    <xf numFmtId="165" fontId="15" fillId="31" borderId="1" pivotButton="0" quotePrefix="0" xfId="0"/>
    <xf numFmtId="0" fontId="16" fillId="31" borderId="0" applyAlignment="1" pivotButton="0" quotePrefix="0" xfId="0">
      <alignment wrapText="1"/>
    </xf>
    <xf numFmtId="165" fontId="0" fillId="31" borderId="0" pivotButton="0" quotePrefix="0" xfId="0"/>
    <xf numFmtId="0" fontId="30" fillId="31" borderId="11" applyAlignment="1" pivotButton="0" quotePrefix="0" xfId="0">
      <alignment vertical="center"/>
    </xf>
    <xf numFmtId="0" fontId="0" fillId="31" borderId="12" pivotButton="0" quotePrefix="0" xfId="0"/>
    <xf numFmtId="0" fontId="0" fillId="31" borderId="13" pivotButton="0" quotePrefix="0" xfId="0"/>
    <xf numFmtId="0" fontId="31" fillId="31" borderId="11" applyAlignment="1" pivotButton="0" quotePrefix="0" xfId="0">
      <alignment vertical="center"/>
    </xf>
    <xf numFmtId="0" fontId="32" fillId="31" borderId="11" applyAlignment="1" pivotButton="0" quotePrefix="0" xfId="0">
      <alignment vertical="center"/>
    </xf>
    <xf numFmtId="0" fontId="33" fillId="31" borderId="11" applyAlignment="1" pivotButton="0" quotePrefix="0" xfId="0">
      <alignment vertical="center"/>
    </xf>
    <xf numFmtId="164" fontId="33" fillId="31" borderId="11" applyAlignment="1" pivotButton="0" quotePrefix="0" xfId="0">
      <alignment vertical="center"/>
    </xf>
    <xf numFmtId="0" fontId="19" fillId="31" borderId="1" pivotButton="0" quotePrefix="0" xfId="0"/>
    <xf numFmtId="164" fontId="15" fillId="31" borderId="1" pivotButton="0" quotePrefix="0" xfId="0"/>
    <xf numFmtId="0" fontId="15" fillId="31" borderId="4" pivotButton="0" quotePrefix="0" xfId="0"/>
    <xf numFmtId="164" fontId="0" fillId="31" borderId="4" pivotButton="0" quotePrefix="0" xfId="0"/>
    <xf numFmtId="4" fontId="0" fillId="31" borderId="4" pivotButton="0" quotePrefix="0" xfId="0"/>
    <xf numFmtId="165" fontId="0" fillId="31" borderId="4" pivotButton="0" quotePrefix="0" xfId="0"/>
    <xf numFmtId="0" fontId="0" fillId="31" borderId="4" pivotButton="0" quotePrefix="0" xfId="0"/>
    <xf numFmtId="0" fontId="15" fillId="31" borderId="3" pivotButton="0" quotePrefix="0" xfId="0"/>
    <xf numFmtId="0" fontId="30" fillId="31" borderId="14" applyAlignment="1" pivotButton="0" quotePrefix="0" xfId="0">
      <alignment vertical="center" wrapText="1"/>
    </xf>
    <xf numFmtId="0" fontId="0" fillId="31" borderId="17" pivotButton="0" quotePrefix="0" xfId="0"/>
    <xf numFmtId="0" fontId="0" fillId="31" borderId="18" pivotButton="0" quotePrefix="0" xfId="0"/>
    <xf numFmtId="0" fontId="0" fillId="31" borderId="14" applyAlignment="1" pivotButton="0" quotePrefix="0" xfId="0">
      <alignment vertical="center" wrapText="1"/>
    </xf>
    <xf numFmtId="0" fontId="31" fillId="31" borderId="14" applyAlignment="1" pivotButton="0" quotePrefix="0" xfId="0">
      <alignment vertical="center" wrapText="1"/>
    </xf>
    <xf numFmtId="0" fontId="32" fillId="31" borderId="14" applyAlignment="1" pivotButton="0" quotePrefix="0" xfId="0">
      <alignment vertical="center" wrapText="1"/>
    </xf>
    <xf numFmtId="164" fontId="0" fillId="31" borderId="14" applyAlignment="1" pivotButton="0" quotePrefix="0" xfId="0">
      <alignment vertical="center" wrapText="1"/>
    </xf>
    <xf numFmtId="0" fontId="33" fillId="31" borderId="14" applyAlignment="1" pivotButton="0" quotePrefix="0" xfId="0">
      <alignment vertical="center" wrapText="1"/>
    </xf>
    <xf numFmtId="164" fontId="33" fillId="31" borderId="14" applyAlignment="1" pivotButton="0" quotePrefix="0" xfId="0">
      <alignment vertical="center" wrapText="1"/>
    </xf>
    <xf numFmtId="0" fontId="34" fillId="31" borderId="14" applyAlignment="1" pivotButton="0" quotePrefix="0" xfId="0">
      <alignment vertical="center" wrapText="1"/>
    </xf>
    <xf numFmtId="165" fontId="0" fillId="0" borderId="1" pivotButton="0" quotePrefix="0" xfId="0"/>
    <xf numFmtId="166" fontId="15" fillId="6" borderId="1" pivotButton="0" quotePrefix="0" xfId="0"/>
    <xf numFmtId="165" fontId="15" fillId="6" borderId="1" pivotButton="0" quotePrefix="0" xfId="0"/>
    <xf numFmtId="165" fontId="0" fillId="0" borderId="0" pivotButton="0" quotePrefix="0" xfId="0"/>
    <xf numFmtId="165" fontId="0" fillId="0" borderId="4" pivotButton="0" quotePrefix="0" xfId="0"/>
    <xf numFmtId="166" fontId="0" fillId="0" borderId="1" pivotButton="0" quotePrefix="0" xfId="0"/>
    <xf numFmtId="0" fontId="50" fillId="0" borderId="0" pivotButton="0" quotePrefix="0" xfId="0"/>
    <xf numFmtId="0" fontId="51" fillId="0" borderId="0" pivotButton="0" quotePrefix="0" xfId="0"/>
    <xf numFmtId="0" fontId="0" fillId="35" borderId="0" pivotButton="0" quotePrefix="0" xfId="0"/>
    <xf numFmtId="0" fontId="52" fillId="36" borderId="0" pivotButton="0" quotePrefix="0" xfId="0"/>
    <xf numFmtId="0" fontId="53" fillId="0" borderId="0" pivotButton="0" quotePrefix="0" xfId="0"/>
    <xf numFmtId="0" fontId="49" fillId="36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9EAD3"/>
      <rgbColor rgb="FFFF00FF"/>
      <rgbColor rgb="FFDDEBF7"/>
      <rgbColor rgb="FF9C0006"/>
      <rgbColor rgb="FF008000"/>
      <rgbColor rgb="FF000080"/>
      <rgbColor rgb="FFF7F7F7"/>
      <rgbColor rgb="FF800080"/>
      <rgbColor rgb="FF1F4E78"/>
      <rgbColor rgb="FFBFBFBF"/>
      <rgbColor rgb="FF7F7F7F"/>
      <rgbColor rgb="FF9AA7B5"/>
      <rgbColor rgb="FF993366"/>
      <rgbColor rgb="FFFFF2CC"/>
      <rgbColor rgb="FFE7F6EC"/>
      <rgbColor rgb="FF660066"/>
      <rgbColor rgb="FFC0D1D6"/>
      <rgbColor rgb="FF0563C1"/>
      <rgbColor rgb="FFC6D9F1"/>
      <rgbColor rgb="FF000080"/>
      <rgbColor rgb="FFFF00FF"/>
      <rgbColor rgb="FFE0E0E0"/>
      <rgbColor rgb="FFEAF3F8"/>
      <rgbColor rgb="FF800080"/>
      <rgbColor rgb="FF800000"/>
      <rgbColor rgb="FF008080"/>
      <rgbColor rgb="FF0000FF"/>
      <rgbColor rgb="FFEAF2F8"/>
      <rgbColor rgb="FFD9EAF7"/>
      <rgbColor rgb="FFE2F0D9"/>
      <rgbColor rgb="FFFFEB9C"/>
      <rgbColor rgb="FFB8CCE4"/>
      <rgbColor rgb="FFFFC7CE"/>
      <rgbColor rgb="FF9FB0C0"/>
      <rgbColor rgb="FFF4CCCC"/>
      <rgbColor rgb="FF4F81BD"/>
      <rgbColor rgb="FFDCE6F2"/>
      <rgbColor rgb="FF92D050"/>
      <rgbColor rgb="FFFCE4D6"/>
      <rgbColor rgb="FFD9D9D9"/>
      <rgbColor rgb="FFC77700"/>
      <rgbColor rgb="FF5C6575"/>
      <rgbColor rgb="FF878787"/>
      <rgbColor rgb="FF173F5F"/>
      <rgbColor rgb="FF2F9E44"/>
      <rgbColor rgb="FF172033"/>
      <rgbColor rgb="FF333300"/>
      <rgbColor rgb="FFB42318"/>
      <rgbColor rgb="FF993366"/>
      <rgbColor rgb="FF1F497D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/ EBITDA / CFADS</a:t>
            </a:r>
          </a:p>
        </rich>
      </tx>
    </title>
    <plotArea>
      <lineChart>
        <grouping val="standard"/>
        <ser>
          <idx val="0"/>
          <order val="0"/>
          <tx>
            <strRef>
              <f>'COVER_DASHBOARD'!A61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'COVER_DASHBOARD'!$B$61:$A$61</f>
            </numRef>
          </val>
        </ser>
        <ser>
          <idx val="1"/>
          <order val="1"/>
          <tx>
            <strRef>
              <f>'COVER_DASHBOARD'!B61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'COVER_DASHBOARD'!$C$61:$B$61</f>
            </numRef>
          </val>
        </ser>
        <ser>
          <idx val="2"/>
          <order val="2"/>
          <tx>
            <strRef>
              <f>'COVER_DASHBOARD'!C61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'COVER_DASHBOARD'!$D$61:$C$61</f>
            </numRef>
          </val>
        </ser>
        <ser>
          <idx val="3"/>
          <order val="3"/>
          <tx>
            <strRef>
              <f>'COVER_DASHBOARD'!D61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'COVER_DASHBOARD'!$E$61:$D$61</f>
            </numRef>
          </val>
        </ser>
        <ser>
          <idx val="4"/>
          <order val="4"/>
          <tx>
            <strRef>
              <f>'COVER_DASHBOARD'!E61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'COVER_DASHBOARD'!$F$61:$E$61</f>
            </numRef>
          </val>
        </ser>
        <ser>
          <idx val="5"/>
          <order val="5"/>
          <tx>
            <strRef>
              <f>'COVER_DASHBOARD'!F61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'COVER_DASHBOARD'!$G$61:$F$61</f>
            </numRef>
          </val>
        </ser>
        <ser>
          <idx val="6"/>
          <order val="6"/>
          <tx>
            <strRef>
              <f>'COVER_DASHBOARD'!G61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'COVER_DASHBOARD'!$H$61:$G$61</f>
            </numRef>
          </val>
        </ser>
        <ser>
          <idx val="7"/>
          <order val="7"/>
          <tx>
            <strRef>
              <f>'COVER_DASHBOARD'!H61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'COVER_DASHBOARD'!$I$61:$H$61</f>
            </numRef>
          </val>
        </ser>
        <ser>
          <idx val="8"/>
          <order val="8"/>
          <tx>
            <strRef>
              <f>'COVER_DASHBOARD'!I61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'COVER_DASHBOARD'!$J$61:$I$61</f>
            </numRef>
          </val>
        </ser>
        <ser>
          <idx val="9"/>
          <order val="9"/>
          <tx>
            <strRef>
              <f>'COVER_DASHBOARD'!J61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'COVER_DASHBOARD'!$K$61:$J$61</f>
            </numRef>
          </val>
        </ser>
        <ser>
          <idx val="10"/>
          <order val="10"/>
          <tx>
            <strRef>
              <f>'COVER_DASHBOARD'!K61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'COVER_DASHBOARD'!$L$61:$K$61</f>
            </numRef>
          </val>
        </ser>
        <ser>
          <idx val="11"/>
          <order val="11"/>
          <tx>
            <strRef>
              <f>'COVER_DASHBOARD'!A62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'COVER_DASHBOARD'!$B$62:$A$62</f>
            </numRef>
          </val>
        </ser>
        <ser>
          <idx val="12"/>
          <order val="12"/>
          <tx>
            <strRef>
              <f>'COVER_DASHBOARD'!B62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'COVER_DASHBOARD'!$C$62:$B$62</f>
            </numRef>
          </val>
        </ser>
        <ser>
          <idx val="13"/>
          <order val="13"/>
          <tx>
            <strRef>
              <f>'COVER_DASHBOARD'!C62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'COVER_DASHBOARD'!$D$62:$C$62</f>
            </numRef>
          </val>
        </ser>
        <ser>
          <idx val="14"/>
          <order val="14"/>
          <tx>
            <strRef>
              <f>'COVER_DASHBOARD'!D62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'COVER_DASHBOARD'!$E$62:$D$62</f>
            </numRef>
          </val>
        </ser>
        <ser>
          <idx val="15"/>
          <order val="15"/>
          <tx>
            <strRef>
              <f>'COVER_DASHBOARD'!E62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'COVER_DASHBOARD'!$F$62:$E$62</f>
            </numRef>
          </val>
        </ser>
        <ser>
          <idx val="16"/>
          <order val="16"/>
          <tx>
            <strRef>
              <f>'COVER_DASHBOARD'!F62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'COVER_DASHBOARD'!$G$62:$F$62</f>
            </numRef>
          </val>
        </ser>
        <ser>
          <idx val="17"/>
          <order val="17"/>
          <tx>
            <strRef>
              <f>'COVER_DASHBOARD'!G62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'COVER_DASHBOARD'!$H$62:$G$62</f>
            </numRef>
          </val>
        </ser>
        <ser>
          <idx val="18"/>
          <order val="18"/>
          <tx>
            <strRef>
              <f>'COVER_DASHBOARD'!H62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'COVER_DASHBOARD'!$I$62:$H$62</f>
            </numRef>
          </val>
        </ser>
        <ser>
          <idx val="19"/>
          <order val="19"/>
          <tx>
            <strRef>
              <f>'COVER_DASHBOARD'!I62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'COVER_DASHBOARD'!$J$62:$I$62</f>
            </numRef>
          </val>
        </ser>
        <ser>
          <idx val="20"/>
          <order val="20"/>
          <tx>
            <strRef>
              <f>'COVER_DASHBOARD'!J62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'COVER_DASHBOARD'!$K$62:$J$62</f>
            </numRef>
          </val>
        </ser>
        <ser>
          <idx val="21"/>
          <order val="21"/>
          <tx>
            <strRef>
              <f>'COVER_DASHBOARD'!K62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'COVER_DASHBOARD'!$L$62:$K$62</f>
            </numRef>
          </val>
        </ser>
        <ser>
          <idx val="22"/>
          <order val="22"/>
          <tx>
            <strRef>
              <f>'COVER_DASHBOARD'!A63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'COVER_DASHBOARD'!$B$63:$A$63</f>
            </numRef>
          </val>
        </ser>
        <ser>
          <idx val="23"/>
          <order val="23"/>
          <tx>
            <strRef>
              <f>'COVER_DASHBOARD'!B63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'COVER_DASHBOARD'!$C$63:$B$63</f>
            </numRef>
          </val>
        </ser>
        <ser>
          <idx val="24"/>
          <order val="24"/>
          <tx>
            <strRef>
              <f>'COVER_DASHBOARD'!C63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'COVER_DASHBOARD'!$D$63:$C$63</f>
            </numRef>
          </val>
        </ser>
        <ser>
          <idx val="25"/>
          <order val="25"/>
          <tx>
            <strRef>
              <f>'COVER_DASHBOARD'!D63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'COVER_DASHBOARD'!$E$63:$D$63</f>
            </numRef>
          </val>
        </ser>
        <ser>
          <idx val="26"/>
          <order val="26"/>
          <tx>
            <strRef>
              <f>'COVER_DASHBOARD'!E63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'COVER_DASHBOARD'!$F$63:$E$63</f>
            </numRef>
          </val>
        </ser>
        <ser>
          <idx val="27"/>
          <order val="27"/>
          <tx>
            <strRef>
              <f>'COVER_DASHBOARD'!F63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'COVER_DASHBOARD'!$G$63:$F$63</f>
            </numRef>
          </val>
        </ser>
        <ser>
          <idx val="28"/>
          <order val="28"/>
          <tx>
            <strRef>
              <f>'COVER_DASHBOARD'!G63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'COVER_DASHBOARD'!$H$63:$G$63</f>
            </numRef>
          </val>
        </ser>
        <ser>
          <idx val="29"/>
          <order val="29"/>
          <tx>
            <strRef>
              <f>'COVER_DASHBOARD'!H63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'COVER_DASHBOARD'!$I$63:$H$63</f>
            </numRef>
          </val>
        </ser>
        <ser>
          <idx val="30"/>
          <order val="30"/>
          <tx>
            <strRef>
              <f>'COVER_DASHBOARD'!I63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'COVER_DASHBOARD'!$J$63:$I$63</f>
            </numRef>
          </val>
        </ser>
        <ser>
          <idx val="31"/>
          <order val="31"/>
          <tx>
            <strRef>
              <f>'COVER_DASHBOARD'!J63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'COVER_DASHBOARD'!$K$63:$J$63</f>
            </numRef>
          </val>
        </ser>
        <ser>
          <idx val="32"/>
          <order val="32"/>
          <tx>
            <strRef>
              <f>'COVER_DASHBOARD'!K63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'COVER_DASHBOARD'!$L$63:$K$63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DSCR</a:t>
            </a:r>
          </a:p>
        </rich>
      </tx>
    </title>
    <plotArea>
      <lineChart>
        <grouping val="standard"/>
        <ser>
          <idx val="0"/>
          <order val="0"/>
          <tx>
            <strRef>
              <f>'COVER_DASHBOARD'!A64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'COVER_DASHBOARD'!$B$64:$A$64</f>
            </numRef>
          </val>
        </ser>
        <ser>
          <idx val="1"/>
          <order val="1"/>
          <tx>
            <strRef>
              <f>'COVER_DASHBOARD'!B64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'COVER_DASHBOARD'!$C$64:$B$64</f>
            </numRef>
          </val>
        </ser>
        <ser>
          <idx val="2"/>
          <order val="2"/>
          <tx>
            <strRef>
              <f>'COVER_DASHBOARD'!C64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'COVER_DASHBOARD'!$D$64:$C$64</f>
            </numRef>
          </val>
        </ser>
        <ser>
          <idx val="3"/>
          <order val="3"/>
          <tx>
            <strRef>
              <f>'COVER_DASHBOARD'!D64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'COVER_DASHBOARD'!$E$64:$D$64</f>
            </numRef>
          </val>
        </ser>
        <ser>
          <idx val="4"/>
          <order val="4"/>
          <tx>
            <strRef>
              <f>'COVER_DASHBOARD'!E64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'COVER_DASHBOARD'!$F$64:$E$64</f>
            </numRef>
          </val>
        </ser>
        <ser>
          <idx val="5"/>
          <order val="5"/>
          <tx>
            <strRef>
              <f>'COVER_DASHBOARD'!F64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'COVER_DASHBOARD'!$G$64:$F$64</f>
            </numRef>
          </val>
        </ser>
        <ser>
          <idx val="6"/>
          <order val="6"/>
          <tx>
            <strRef>
              <f>'COVER_DASHBOARD'!G64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'COVER_DASHBOARD'!$H$64:$G$64</f>
            </numRef>
          </val>
        </ser>
        <ser>
          <idx val="7"/>
          <order val="7"/>
          <tx>
            <strRef>
              <f>'COVER_DASHBOARD'!H64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'COVER_DASHBOARD'!$I$64:$H$64</f>
            </numRef>
          </val>
        </ser>
        <ser>
          <idx val="8"/>
          <order val="8"/>
          <tx>
            <strRef>
              <f>'COVER_DASHBOARD'!I64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'COVER_DASHBOARD'!$J$64:$I$64</f>
            </numRef>
          </val>
        </ser>
        <ser>
          <idx val="9"/>
          <order val="9"/>
          <tx>
            <strRef>
              <f>'COVER_DASHBOARD'!J64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'COVER_DASHBOARD'!$K$64:$J$64</f>
            </numRef>
          </val>
        </ser>
        <ser>
          <idx val="10"/>
          <order val="10"/>
          <tx>
            <strRef>
              <f>'COVER_DASHBOARD'!K64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'COVER_DASHBOARD'!$L$64:$K$64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Debt Balance and Cash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'COVER_DASHBOARD'!A65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'COVER_DASHBOARD'!$B$65:$A$65</f>
            </numRef>
          </val>
        </ser>
        <ser>
          <idx val="1"/>
          <order val="1"/>
          <tx>
            <strRef>
              <f>'COVER_DASHBOARD'!B65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'COVER_DASHBOARD'!$C$65:$B$65</f>
            </numRef>
          </val>
        </ser>
        <ser>
          <idx val="2"/>
          <order val="2"/>
          <tx>
            <strRef>
              <f>'COVER_DASHBOARD'!C65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'COVER_DASHBOARD'!$D$65:$C$65</f>
            </numRef>
          </val>
        </ser>
        <ser>
          <idx val="3"/>
          <order val="3"/>
          <tx>
            <strRef>
              <f>'COVER_DASHBOARD'!D65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'COVER_DASHBOARD'!$E$65:$D$65</f>
            </numRef>
          </val>
        </ser>
        <ser>
          <idx val="4"/>
          <order val="4"/>
          <tx>
            <strRef>
              <f>'COVER_DASHBOARD'!E65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'COVER_DASHBOARD'!$F$65:$E$65</f>
            </numRef>
          </val>
        </ser>
        <ser>
          <idx val="5"/>
          <order val="5"/>
          <tx>
            <strRef>
              <f>'COVER_DASHBOARD'!F65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'COVER_DASHBOARD'!$G$65:$F$65</f>
            </numRef>
          </val>
        </ser>
        <ser>
          <idx val="6"/>
          <order val="6"/>
          <tx>
            <strRef>
              <f>'COVER_DASHBOARD'!G65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'COVER_DASHBOARD'!$H$65:$G$65</f>
            </numRef>
          </val>
        </ser>
        <ser>
          <idx val="7"/>
          <order val="7"/>
          <tx>
            <strRef>
              <f>'COVER_DASHBOARD'!H65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'COVER_DASHBOARD'!$I$65:$H$65</f>
            </numRef>
          </val>
        </ser>
        <ser>
          <idx val="8"/>
          <order val="8"/>
          <tx>
            <strRef>
              <f>'COVER_DASHBOARD'!I65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'COVER_DASHBOARD'!$J$65:$I$65</f>
            </numRef>
          </val>
        </ser>
        <ser>
          <idx val="9"/>
          <order val="9"/>
          <tx>
            <strRef>
              <f>'COVER_DASHBOARD'!J65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'COVER_DASHBOARD'!$K$65:$J$65</f>
            </numRef>
          </val>
        </ser>
        <ser>
          <idx val="10"/>
          <order val="10"/>
          <tx>
            <strRef>
              <f>'COVER_DASHBOARD'!K65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'COVER_DASHBOARD'!$L$65:$K$65</f>
            </numRef>
          </val>
        </ser>
        <ser>
          <idx val="11"/>
          <order val="11"/>
          <tx>
            <strRef>
              <f>'COVER_DASHBOARD'!A66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'COVER_DASHBOARD'!$B$66:$A$66</f>
            </numRef>
          </val>
        </ser>
        <ser>
          <idx val="12"/>
          <order val="12"/>
          <tx>
            <strRef>
              <f>'COVER_DASHBOARD'!B66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'COVER_DASHBOARD'!$C$66:$B$66</f>
            </numRef>
          </val>
        </ser>
        <ser>
          <idx val="13"/>
          <order val="13"/>
          <tx>
            <strRef>
              <f>'COVER_DASHBOARD'!C66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'COVER_DASHBOARD'!$D$66:$C$66</f>
            </numRef>
          </val>
        </ser>
        <ser>
          <idx val="14"/>
          <order val="14"/>
          <tx>
            <strRef>
              <f>'COVER_DASHBOARD'!D66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'COVER_DASHBOARD'!$E$66:$D$66</f>
            </numRef>
          </val>
        </ser>
        <ser>
          <idx val="15"/>
          <order val="15"/>
          <tx>
            <strRef>
              <f>'COVER_DASHBOARD'!E66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'COVER_DASHBOARD'!$F$66:$E$66</f>
            </numRef>
          </val>
        </ser>
        <ser>
          <idx val="16"/>
          <order val="16"/>
          <tx>
            <strRef>
              <f>'COVER_DASHBOARD'!F66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'COVER_DASHBOARD'!$G$66:$F$66</f>
            </numRef>
          </val>
        </ser>
        <ser>
          <idx val="17"/>
          <order val="17"/>
          <tx>
            <strRef>
              <f>'COVER_DASHBOARD'!G66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'COVER_DASHBOARD'!$H$66:$G$66</f>
            </numRef>
          </val>
        </ser>
        <ser>
          <idx val="18"/>
          <order val="18"/>
          <tx>
            <strRef>
              <f>'COVER_DASHBOARD'!H66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'COVER_DASHBOARD'!$I$66:$H$66</f>
            </numRef>
          </val>
        </ser>
        <ser>
          <idx val="19"/>
          <order val="19"/>
          <tx>
            <strRef>
              <f>'COVER_DASHBOARD'!I66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'COVER_DASHBOARD'!$J$66:$I$66</f>
            </numRef>
          </val>
        </ser>
        <ser>
          <idx val="20"/>
          <order val="20"/>
          <tx>
            <strRef>
              <f>'COVER_DASHBOARD'!J66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'COVER_DASHBOARD'!$K$66:$J$66</f>
            </numRef>
          </val>
        </ser>
        <ser>
          <idx val="21"/>
          <order val="21"/>
          <tx>
            <strRef>
              <f>'COVER_DASHBOARD'!K66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'COVER_DASHBOARD'!$L$66:$K$66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Circular Economy KPIs</a:t>
            </a:r>
          </a:p>
        </rich>
      </tx>
    </title>
    <plotArea>
      <lineChart>
        <grouping val="standard"/>
        <ser>
          <idx val="0"/>
          <order val="0"/>
          <tx>
            <strRef>
              <f>'COVER_DASHBOARD'!A68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'COVER_DASHBOARD'!$B$68:$A$68</f>
            </numRef>
          </val>
        </ser>
        <ser>
          <idx val="1"/>
          <order val="1"/>
          <tx>
            <strRef>
              <f>'COVER_DASHBOARD'!B68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'COVER_DASHBOARD'!$C$68:$B$68</f>
            </numRef>
          </val>
        </ser>
        <ser>
          <idx val="2"/>
          <order val="2"/>
          <tx>
            <strRef>
              <f>'COVER_DASHBOARD'!C68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'COVER_DASHBOARD'!$D$68:$C$68</f>
            </numRef>
          </val>
        </ser>
        <ser>
          <idx val="3"/>
          <order val="3"/>
          <tx>
            <strRef>
              <f>'COVER_DASHBOARD'!D68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'COVER_DASHBOARD'!$E$68:$D$68</f>
            </numRef>
          </val>
        </ser>
        <ser>
          <idx val="4"/>
          <order val="4"/>
          <tx>
            <strRef>
              <f>'COVER_DASHBOARD'!E68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'COVER_DASHBOARD'!$F$68:$E$68</f>
            </numRef>
          </val>
        </ser>
        <ser>
          <idx val="5"/>
          <order val="5"/>
          <tx>
            <strRef>
              <f>'COVER_DASHBOARD'!F68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'COVER_DASHBOARD'!$G$68:$F$68</f>
            </numRef>
          </val>
        </ser>
        <ser>
          <idx val="6"/>
          <order val="6"/>
          <tx>
            <strRef>
              <f>'COVER_DASHBOARD'!G68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'COVER_DASHBOARD'!$H$68:$G$68</f>
            </numRef>
          </val>
        </ser>
        <ser>
          <idx val="7"/>
          <order val="7"/>
          <tx>
            <strRef>
              <f>'COVER_DASHBOARD'!H68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'COVER_DASHBOARD'!$I$68:$H$68</f>
            </numRef>
          </val>
        </ser>
        <ser>
          <idx val="8"/>
          <order val="8"/>
          <tx>
            <strRef>
              <f>'COVER_DASHBOARD'!I68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'COVER_DASHBOARD'!$J$68:$I$68</f>
            </numRef>
          </val>
        </ser>
        <ser>
          <idx val="9"/>
          <order val="9"/>
          <tx>
            <strRef>
              <f>'COVER_DASHBOARD'!J68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'COVER_DASHBOARD'!$K$68:$J$68</f>
            </numRef>
          </val>
        </ser>
        <ser>
          <idx val="10"/>
          <order val="10"/>
          <tx>
            <strRef>
              <f>'COVER_DASHBOARD'!K68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'COVER_DASHBOARD'!$L$68:$K$68</f>
            </numRef>
          </val>
        </ser>
        <ser>
          <idx val="11"/>
          <order val="11"/>
          <tx>
            <strRef>
              <f>'COVER_DASHBOARD'!A69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'COVER_DASHBOARD'!$B$69:$A$69</f>
            </numRef>
          </val>
        </ser>
        <ser>
          <idx val="12"/>
          <order val="12"/>
          <tx>
            <strRef>
              <f>'COVER_DASHBOARD'!B69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'COVER_DASHBOARD'!$C$69:$B$69</f>
            </numRef>
          </val>
        </ser>
        <ser>
          <idx val="13"/>
          <order val="13"/>
          <tx>
            <strRef>
              <f>'COVER_DASHBOARD'!C69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'COVER_DASHBOARD'!$D$69:$C$69</f>
            </numRef>
          </val>
        </ser>
        <ser>
          <idx val="14"/>
          <order val="14"/>
          <tx>
            <strRef>
              <f>'COVER_DASHBOARD'!D69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'COVER_DASHBOARD'!$E$69:$D$69</f>
            </numRef>
          </val>
        </ser>
        <ser>
          <idx val="15"/>
          <order val="15"/>
          <tx>
            <strRef>
              <f>'COVER_DASHBOARD'!E69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'COVER_DASHBOARD'!$F$69:$E$69</f>
            </numRef>
          </val>
        </ser>
        <ser>
          <idx val="16"/>
          <order val="16"/>
          <tx>
            <strRef>
              <f>'COVER_DASHBOARD'!F69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'COVER_DASHBOARD'!$G$69:$F$69</f>
            </numRef>
          </val>
        </ser>
        <ser>
          <idx val="17"/>
          <order val="17"/>
          <tx>
            <strRef>
              <f>'COVER_DASHBOARD'!G69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'COVER_DASHBOARD'!$H$69:$G$69</f>
            </numRef>
          </val>
        </ser>
        <ser>
          <idx val="18"/>
          <order val="18"/>
          <tx>
            <strRef>
              <f>'COVER_DASHBOARD'!H69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'COVER_DASHBOARD'!$I$69:$H$69</f>
            </numRef>
          </val>
        </ser>
        <ser>
          <idx val="19"/>
          <order val="19"/>
          <tx>
            <strRef>
              <f>'COVER_DASHBOARD'!I69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'COVER_DASHBOARD'!$J$69:$I$69</f>
            </numRef>
          </val>
        </ser>
        <ser>
          <idx val="20"/>
          <order val="20"/>
          <tx>
            <strRef>
              <f>'COVER_DASHBOARD'!J69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'COVER_DASHBOARD'!$K$69:$J$69</f>
            </numRef>
          </val>
        </ser>
        <ser>
          <idx val="21"/>
          <order val="21"/>
          <tx>
            <strRef>
              <f>'COVER_DASHBOARD'!K69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'COVER_DASHBOARD'!$L$69:$K$69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Bags / 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Feed Self-Sufficiency</a:t>
            </a:r>
          </a:p>
        </rich>
      </tx>
    </title>
    <plotArea>
      <lineChart>
        <grouping val="standard"/>
        <ser>
          <idx val="0"/>
          <order val="0"/>
          <tx>
            <strRef>
              <f>'COVER_DASHBOARD'!A67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'COVER_DASHBOARD'!$B$67:$A$67</f>
            </numRef>
          </val>
        </ser>
        <ser>
          <idx val="1"/>
          <order val="1"/>
          <tx>
            <strRef>
              <f>'COVER_DASHBOARD'!B67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'COVER_DASHBOARD'!$C$67:$B$67</f>
            </numRef>
          </val>
        </ser>
        <ser>
          <idx val="2"/>
          <order val="2"/>
          <tx>
            <strRef>
              <f>'COVER_DASHBOARD'!C67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'COVER_DASHBOARD'!$D$67:$C$67</f>
            </numRef>
          </val>
        </ser>
        <ser>
          <idx val="3"/>
          <order val="3"/>
          <tx>
            <strRef>
              <f>'COVER_DASHBOARD'!D67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'COVER_DASHBOARD'!$E$67:$D$67</f>
            </numRef>
          </val>
        </ser>
        <ser>
          <idx val="4"/>
          <order val="4"/>
          <tx>
            <strRef>
              <f>'COVER_DASHBOARD'!E67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'COVER_DASHBOARD'!$F$67:$E$67</f>
            </numRef>
          </val>
        </ser>
        <ser>
          <idx val="5"/>
          <order val="5"/>
          <tx>
            <strRef>
              <f>'COVER_DASHBOARD'!F67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'COVER_DASHBOARD'!$G$67:$F$67</f>
            </numRef>
          </val>
        </ser>
        <ser>
          <idx val="6"/>
          <order val="6"/>
          <tx>
            <strRef>
              <f>'COVER_DASHBOARD'!G67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'COVER_DASHBOARD'!$H$67:$G$67</f>
            </numRef>
          </val>
        </ser>
        <ser>
          <idx val="7"/>
          <order val="7"/>
          <tx>
            <strRef>
              <f>'COVER_DASHBOARD'!H67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'COVER_DASHBOARD'!$I$67:$H$67</f>
            </numRef>
          </val>
        </ser>
        <ser>
          <idx val="8"/>
          <order val="8"/>
          <tx>
            <strRef>
              <f>'COVER_DASHBOARD'!I67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'COVER_DASHBOARD'!$J$67:$I$67</f>
            </numRef>
          </val>
        </ser>
        <ser>
          <idx val="9"/>
          <order val="9"/>
          <tx>
            <strRef>
              <f>'COVER_DASHBOARD'!J67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'COVER_DASHBOARD'!$K$67:$J$67</f>
            </numRef>
          </val>
        </ser>
        <ser>
          <idx val="10"/>
          <order val="10"/>
          <tx>
            <strRef>
              <f>'COVER_DASHBOARD'!K67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'COVER_DASHBOARD'!$B$60:$K$60</f>
            </numRef>
          </cat>
          <val>
            <numRef>
              <f>'COVER_DASHBOARD'!$L$67:$K$67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Herd Growth, Calves and Culls</a:t>
            </a:r>
          </a:p>
        </rich>
      </tx>
    </title>
    <plotArea>
      <lineChart>
        <grouping val="standard"/>
        <ser>
          <idx val="0"/>
          <order val="0"/>
          <tx>
            <strRef>
              <f>'HERD_MODEL'!H3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'HERD_MODEL'!$A$4:$A$13</f>
            </numRef>
          </cat>
          <val>
            <numRef>
              <f>'HERD_MODEL'!$H$4:$H$13</f>
            </numRef>
          </val>
        </ser>
        <ser>
          <idx val="1"/>
          <order val="1"/>
          <tx>
            <strRef>
              <f>'HERD_MODEL'!J3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'HERD_MODEL'!$A$4:$A$13</f>
            </numRef>
          </cat>
          <val>
            <numRef>
              <f>'HERD_MODEL'!$J$4:$J$13</f>
            </numRef>
          </val>
        </ser>
        <ser>
          <idx val="2"/>
          <order val="2"/>
          <tx>
            <strRef>
              <f>'HERD_MODEL'!K3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'HERD_MODEL'!$A$4:$A$13</f>
            </numRef>
          </cat>
          <val>
            <numRef>
              <f>'HERD_MODEL'!$K$4:$K$13</f>
            </numRef>
          </val>
        </ser>
        <ser>
          <idx val="3"/>
          <order val="3"/>
          <tx>
            <strRef>
              <f>'HERD_MODEL'!L3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'HERD_MODEL'!$A$4:$A$13</f>
            </numRef>
          </cat>
          <val>
            <numRef>
              <f>'HERD_MODEL'!$L$4:$L$13</f>
            </numRef>
          </val>
        </ser>
        <ser>
          <idx val="4"/>
          <order val="4"/>
          <tx>
            <strRef>
              <f>'HERD_MODEL'!F3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'HERD_MODEL'!$A$4:$A$13</f>
            </numRef>
          </cat>
          <val>
            <numRef>
              <f>'HERD_MODEL'!$F$4:$F$13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Head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Long-Term 1000-Cow Ranch Path</a:t>
            </a:r>
          </a:p>
        </rich>
      </tx>
    </title>
    <plotArea>
      <lineChart>
        <grouping val="standard"/>
        <ser>
          <idx val="0"/>
          <order val="0"/>
          <tx>
            <strRef>
              <f>'HERD_MODEL'!H3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'HERD_MODEL'!$A$17:$A$36</f>
            </numRef>
          </cat>
          <val>
            <numRef>
              <f>'HERD_MODEL'!$H$4:$H$36</f>
            </numRef>
          </val>
        </ser>
        <ser>
          <idx val="1"/>
          <order val="1"/>
          <tx>
            <strRef>
              <f>'HERD_MODEL'!J3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'HERD_MODEL'!$A$17:$A$36</f>
            </numRef>
          </cat>
          <val>
            <numRef>
              <f>'HERD_MODEL'!$J$4:$J$36</f>
            </numRef>
          </val>
        </ser>
        <ser>
          <idx val="2"/>
          <order val="2"/>
          <tx>
            <strRef>
              <f>'HERD_MODEL'!K3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'HERD_MODEL'!$A$17:$A$36</f>
            </numRef>
          </cat>
          <val>
            <numRef>
              <f>'HERD_MODEL'!$K$4:$K$36</f>
            </numRef>
          </val>
        </ser>
        <ser>
          <idx val="3"/>
          <order val="3"/>
          <tx>
            <strRef>
              <f>'HERD_MODEL'!L3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'HERD_MODEL'!$A$17:$A$36</f>
            </numRef>
          </cat>
          <val>
            <numRef>
              <f>'HERD_MODEL'!$L$4:$L$36</f>
            </numRef>
          </val>
        </ser>
        <ser>
          <idx val="4"/>
          <order val="4"/>
          <tx>
            <strRef>
              <f>'HERD_MODEL'!F3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'HERD_MODEL'!$A$17:$A$36</f>
            </numRef>
          </cat>
          <val>
            <numRef>
              <f>'HERD_MODEL'!$F$4:$F$36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Head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Feed Production vs Demand</a:t>
            </a:r>
          </a:p>
        </rich>
      </tx>
    </title>
    <plotArea>
      <lineChart>
        <grouping val="standard"/>
        <ser>
          <idx val="0"/>
          <order val="0"/>
          <tx>
            <strRef>
              <f>'FEED_FARM'!A10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'FEED_FARM'!$B$10:$A$10</f>
            </numRef>
          </val>
        </ser>
        <ser>
          <idx val="1"/>
          <order val="1"/>
          <tx>
            <strRef>
              <f>'FEED_FARM'!B10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'FEED_FARM'!$C$10:$B$10</f>
            </numRef>
          </val>
        </ser>
        <ser>
          <idx val="2"/>
          <order val="2"/>
          <tx>
            <strRef>
              <f>'FEED_FARM'!C10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'FEED_FARM'!$D$10:$C$10</f>
            </numRef>
          </val>
        </ser>
        <ser>
          <idx val="3"/>
          <order val="3"/>
          <tx>
            <strRef>
              <f>'FEED_FARM'!D10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'FEED_FARM'!$E$10:$D$10</f>
            </numRef>
          </val>
        </ser>
        <ser>
          <idx val="4"/>
          <order val="4"/>
          <tx>
            <strRef>
              <f>'FEED_FARM'!E10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'FEED_FARM'!$F$10:$E$10</f>
            </numRef>
          </val>
        </ser>
        <ser>
          <idx val="5"/>
          <order val="5"/>
          <tx>
            <strRef>
              <f>'FEED_FARM'!F10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'FEED_FARM'!$G$10:$F$10</f>
            </numRef>
          </val>
        </ser>
        <ser>
          <idx val="6"/>
          <order val="6"/>
          <tx>
            <strRef>
              <f>'FEED_FARM'!G10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'FEED_FARM'!$H$10:$G$10</f>
            </numRef>
          </val>
        </ser>
        <ser>
          <idx val="7"/>
          <order val="7"/>
          <tx>
            <strRef>
              <f>'FEED_FARM'!H10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'FEED_FARM'!$I$10:$H$10</f>
            </numRef>
          </val>
        </ser>
        <ser>
          <idx val="8"/>
          <order val="8"/>
          <tx>
            <strRef>
              <f>'FEED_FARM'!I10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'FEED_FARM'!$J$10:$I$10</f>
            </numRef>
          </val>
        </ser>
        <ser>
          <idx val="9"/>
          <order val="9"/>
          <tx>
            <strRef>
              <f>'FEED_FARM'!J10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'FEED_FARM'!$K$10:$J$10</f>
            </numRef>
          </val>
        </ser>
        <ser>
          <idx val="10"/>
          <order val="10"/>
          <tx>
            <strRef>
              <f>'FEED_FARM'!K10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'FEED_FARM'!$L$10:$K$10</f>
            </numRef>
          </val>
        </ser>
        <ser>
          <idx val="11"/>
          <order val="11"/>
          <tx>
            <strRef>
              <f>'FEED_FARM'!A11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'FEED_FARM'!$B$11:$A$11</f>
            </numRef>
          </val>
        </ser>
        <ser>
          <idx val="12"/>
          <order val="12"/>
          <tx>
            <strRef>
              <f>'FEED_FARM'!B11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'FEED_FARM'!$C$11:$B$11</f>
            </numRef>
          </val>
        </ser>
        <ser>
          <idx val="13"/>
          <order val="13"/>
          <tx>
            <strRef>
              <f>'FEED_FARM'!C11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'FEED_FARM'!$D$11:$C$11</f>
            </numRef>
          </val>
        </ser>
        <ser>
          <idx val="14"/>
          <order val="14"/>
          <tx>
            <strRef>
              <f>'FEED_FARM'!D11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'FEED_FARM'!$E$11:$D$11</f>
            </numRef>
          </val>
        </ser>
        <ser>
          <idx val="15"/>
          <order val="15"/>
          <tx>
            <strRef>
              <f>'FEED_FARM'!E11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'FEED_FARM'!$F$11:$E$11</f>
            </numRef>
          </val>
        </ser>
        <ser>
          <idx val="16"/>
          <order val="16"/>
          <tx>
            <strRef>
              <f>'FEED_FARM'!F11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'FEED_FARM'!$G$11:$F$11</f>
            </numRef>
          </val>
        </ser>
        <ser>
          <idx val="17"/>
          <order val="17"/>
          <tx>
            <strRef>
              <f>'FEED_FARM'!G11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'FEED_FARM'!$H$11:$G$11</f>
            </numRef>
          </val>
        </ser>
        <ser>
          <idx val="18"/>
          <order val="18"/>
          <tx>
            <strRef>
              <f>'FEED_FARM'!H11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'FEED_FARM'!$I$11:$H$11</f>
            </numRef>
          </val>
        </ser>
        <ser>
          <idx val="19"/>
          <order val="19"/>
          <tx>
            <strRef>
              <f>'FEED_FARM'!I11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'FEED_FARM'!$J$11:$I$11</f>
            </numRef>
          </val>
        </ser>
        <ser>
          <idx val="20"/>
          <order val="20"/>
          <tx>
            <strRef>
              <f>'FEED_FARM'!J11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'FEED_FARM'!$K$11:$J$11</f>
            </numRef>
          </val>
        </ser>
        <ser>
          <idx val="21"/>
          <order val="21"/>
          <tx>
            <strRef>
              <f>'FEED_FARM'!K11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'FEED_FARM'!$L$11:$K$11</f>
            </numRef>
          </val>
        </ser>
        <ser>
          <idx val="22"/>
          <order val="22"/>
          <tx>
            <strRef>
              <f>'FEED_FARM'!A12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'FEED_FARM'!$B$12:$A$12</f>
            </numRef>
          </val>
        </ser>
        <ser>
          <idx val="23"/>
          <order val="23"/>
          <tx>
            <strRef>
              <f>'FEED_FARM'!B12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'FEED_FARM'!$C$12:$B$12</f>
            </numRef>
          </val>
        </ser>
        <ser>
          <idx val="24"/>
          <order val="24"/>
          <tx>
            <strRef>
              <f>'FEED_FARM'!C12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'FEED_FARM'!$D$12:$C$12</f>
            </numRef>
          </val>
        </ser>
        <ser>
          <idx val="25"/>
          <order val="25"/>
          <tx>
            <strRef>
              <f>'FEED_FARM'!D12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'FEED_FARM'!$E$12:$D$12</f>
            </numRef>
          </val>
        </ser>
        <ser>
          <idx val="26"/>
          <order val="26"/>
          <tx>
            <strRef>
              <f>'FEED_FARM'!E12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'FEED_FARM'!$F$12:$E$12</f>
            </numRef>
          </val>
        </ser>
        <ser>
          <idx val="27"/>
          <order val="27"/>
          <tx>
            <strRef>
              <f>'FEED_FARM'!F12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'FEED_FARM'!$G$12:$F$12</f>
            </numRef>
          </val>
        </ser>
        <ser>
          <idx val="28"/>
          <order val="28"/>
          <tx>
            <strRef>
              <f>'FEED_FARM'!G12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'FEED_FARM'!$H$12:$G$12</f>
            </numRef>
          </val>
        </ser>
        <ser>
          <idx val="29"/>
          <order val="29"/>
          <tx>
            <strRef>
              <f>'FEED_FARM'!H12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'FEED_FARM'!$I$12:$H$12</f>
            </numRef>
          </val>
        </ser>
        <ser>
          <idx val="30"/>
          <order val="30"/>
          <tx>
            <strRef>
              <f>'FEED_FARM'!I12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'FEED_FARM'!$J$12:$I$12</f>
            </numRef>
          </val>
        </ser>
        <ser>
          <idx val="31"/>
          <order val="31"/>
          <tx>
            <strRef>
              <f>'FEED_FARM'!J12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'FEED_FARM'!$K$12:$J$12</f>
            </numRef>
          </val>
        </ser>
        <ser>
          <idx val="32"/>
          <order val="32"/>
          <tx>
            <strRef>
              <f>'FEED_FARM'!K12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'FEED_FARM'!$L$12:$K$12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Tons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Feed Self-Sufficiency</a:t>
            </a:r>
          </a:p>
        </rich>
      </tx>
    </title>
    <plotArea>
      <lineChart>
        <grouping val="standard"/>
        <ser>
          <idx val="0"/>
          <order val="0"/>
          <tx>
            <strRef>
              <f>'FEED_FARM'!A27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'FEED_FARM'!$B$27:$A$27</f>
            </numRef>
          </val>
        </ser>
        <ser>
          <idx val="1"/>
          <order val="1"/>
          <tx>
            <strRef>
              <f>'FEED_FARM'!B27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'FEED_FARM'!$C$27:$B$27</f>
            </numRef>
          </val>
        </ser>
        <ser>
          <idx val="2"/>
          <order val="2"/>
          <tx>
            <strRef>
              <f>'FEED_FARM'!C27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'FEED_FARM'!$D$27:$C$27</f>
            </numRef>
          </val>
        </ser>
        <ser>
          <idx val="3"/>
          <order val="3"/>
          <tx>
            <strRef>
              <f>'FEED_FARM'!D27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'FEED_FARM'!$E$27:$D$27</f>
            </numRef>
          </val>
        </ser>
        <ser>
          <idx val="4"/>
          <order val="4"/>
          <tx>
            <strRef>
              <f>'FEED_FARM'!E27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'FEED_FARM'!$F$27:$E$27</f>
            </numRef>
          </val>
        </ser>
        <ser>
          <idx val="5"/>
          <order val="5"/>
          <tx>
            <strRef>
              <f>'FEED_FARM'!F27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'FEED_FARM'!$G$27:$F$27</f>
            </numRef>
          </val>
        </ser>
        <ser>
          <idx val="6"/>
          <order val="6"/>
          <tx>
            <strRef>
              <f>'FEED_FARM'!G27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'FEED_FARM'!$H$27:$G$27</f>
            </numRef>
          </val>
        </ser>
        <ser>
          <idx val="7"/>
          <order val="7"/>
          <tx>
            <strRef>
              <f>'FEED_FARM'!H27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'FEED_FARM'!$I$27:$H$27</f>
            </numRef>
          </val>
        </ser>
        <ser>
          <idx val="8"/>
          <order val="8"/>
          <tx>
            <strRef>
              <f>'FEED_FARM'!I27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'FEED_FARM'!$J$27:$I$27</f>
            </numRef>
          </val>
        </ser>
        <ser>
          <idx val="9"/>
          <order val="9"/>
          <tx>
            <strRef>
              <f>'FEED_FARM'!J27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'FEED_FARM'!$K$27:$J$27</f>
            </numRef>
          </val>
        </ser>
        <ser>
          <idx val="10"/>
          <order val="10"/>
          <tx>
            <strRef>
              <f>'FEED_FARM'!K27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'FEED_FARM'!$B$3:$K$3</f>
            </numRef>
          </cat>
          <val>
            <numRef>
              <f>'FEED_FARM'!$L$27:$K$27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Crop Acre Allocation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'FEED_FARM'!A50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'FEED_FARM'!$B$50:$A$50</f>
            </numRef>
          </val>
        </ser>
        <ser>
          <idx val="1"/>
          <order val="1"/>
          <tx>
            <strRef>
              <f>'FEED_FARM'!B50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'FEED_FARM'!$C$50:$B$50</f>
            </numRef>
          </val>
        </ser>
        <ser>
          <idx val="2"/>
          <order val="2"/>
          <tx>
            <strRef>
              <f>'FEED_FARM'!C50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'FEED_FARM'!$D$50:$C$50</f>
            </numRef>
          </val>
        </ser>
        <ser>
          <idx val="3"/>
          <order val="3"/>
          <tx>
            <strRef>
              <f>'FEED_FARM'!D50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'FEED_FARM'!$E$50:$D$50</f>
            </numRef>
          </val>
        </ser>
        <ser>
          <idx val="4"/>
          <order val="4"/>
          <tx>
            <strRef>
              <f>'FEED_FARM'!E50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'FEED_FARM'!$F$50:$E$50</f>
            </numRef>
          </val>
        </ser>
        <ser>
          <idx val="5"/>
          <order val="5"/>
          <tx>
            <strRef>
              <f>'FEED_FARM'!F50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'FEED_FARM'!$G$50:$F$50</f>
            </numRef>
          </val>
        </ser>
        <ser>
          <idx val="6"/>
          <order val="6"/>
          <tx>
            <strRef>
              <f>'FEED_FARM'!G50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'FEED_FARM'!$H$50:$G$50</f>
            </numRef>
          </val>
        </ser>
        <ser>
          <idx val="7"/>
          <order val="7"/>
          <tx>
            <strRef>
              <f>'FEED_FARM'!H50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'FEED_FARM'!$I$50:$H$50</f>
            </numRef>
          </val>
        </ser>
        <ser>
          <idx val="8"/>
          <order val="8"/>
          <tx>
            <strRef>
              <f>'FEED_FARM'!I50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'FEED_FARM'!$J$50:$I$50</f>
            </numRef>
          </val>
        </ser>
        <ser>
          <idx val="9"/>
          <order val="9"/>
          <tx>
            <strRef>
              <f>'FEED_FARM'!J50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'FEED_FARM'!$K$50:$J$50</f>
            </numRef>
          </val>
        </ser>
        <ser>
          <idx val="10"/>
          <order val="10"/>
          <tx>
            <strRef>
              <f>'FEED_FARM'!K50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'FEED_FARM'!$L$50:$K$50</f>
            </numRef>
          </val>
        </ser>
        <ser>
          <idx val="11"/>
          <order val="11"/>
          <tx>
            <strRef>
              <f>'FEED_FARM'!A51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'FEED_FARM'!$B$51:$A$51</f>
            </numRef>
          </val>
        </ser>
        <ser>
          <idx val="12"/>
          <order val="12"/>
          <tx>
            <strRef>
              <f>'FEED_FARM'!B51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'FEED_FARM'!$C$51:$B$51</f>
            </numRef>
          </val>
        </ser>
        <ser>
          <idx val="13"/>
          <order val="13"/>
          <tx>
            <strRef>
              <f>'FEED_FARM'!C51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'FEED_FARM'!$D$51:$C$51</f>
            </numRef>
          </val>
        </ser>
        <ser>
          <idx val="14"/>
          <order val="14"/>
          <tx>
            <strRef>
              <f>'FEED_FARM'!D51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'FEED_FARM'!$E$51:$D$51</f>
            </numRef>
          </val>
        </ser>
        <ser>
          <idx val="15"/>
          <order val="15"/>
          <tx>
            <strRef>
              <f>'FEED_FARM'!E51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'FEED_FARM'!$F$51:$E$51</f>
            </numRef>
          </val>
        </ser>
        <ser>
          <idx val="16"/>
          <order val="16"/>
          <tx>
            <strRef>
              <f>'FEED_FARM'!F51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'FEED_FARM'!$G$51:$F$51</f>
            </numRef>
          </val>
        </ser>
        <ser>
          <idx val="17"/>
          <order val="17"/>
          <tx>
            <strRef>
              <f>'FEED_FARM'!G51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'FEED_FARM'!$H$51:$G$51</f>
            </numRef>
          </val>
        </ser>
        <ser>
          <idx val="18"/>
          <order val="18"/>
          <tx>
            <strRef>
              <f>'FEED_FARM'!H51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'FEED_FARM'!$I$51:$H$51</f>
            </numRef>
          </val>
        </ser>
        <ser>
          <idx val="19"/>
          <order val="19"/>
          <tx>
            <strRef>
              <f>'FEED_FARM'!I51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'FEED_FARM'!$J$51:$I$51</f>
            </numRef>
          </val>
        </ser>
        <ser>
          <idx val="20"/>
          <order val="20"/>
          <tx>
            <strRef>
              <f>'FEED_FARM'!J51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'FEED_FARM'!$K$51:$J$51</f>
            </numRef>
          </val>
        </ser>
        <ser>
          <idx val="21"/>
          <order val="21"/>
          <tx>
            <strRef>
              <f>'FEED_FARM'!K51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'FEED_FARM'!$L$51:$K$51</f>
            </numRef>
          </val>
        </ser>
        <ser>
          <idx val="22"/>
          <order val="22"/>
          <tx>
            <strRef>
              <f>'FEED_FARM'!A52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'FEED_FARM'!$B$52:$A$52</f>
            </numRef>
          </val>
        </ser>
        <ser>
          <idx val="23"/>
          <order val="23"/>
          <tx>
            <strRef>
              <f>'FEED_FARM'!B52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'FEED_FARM'!$C$52:$B$52</f>
            </numRef>
          </val>
        </ser>
        <ser>
          <idx val="24"/>
          <order val="24"/>
          <tx>
            <strRef>
              <f>'FEED_FARM'!C52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'FEED_FARM'!$D$52:$C$52</f>
            </numRef>
          </val>
        </ser>
        <ser>
          <idx val="25"/>
          <order val="25"/>
          <tx>
            <strRef>
              <f>'FEED_FARM'!D52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'FEED_FARM'!$E$52:$D$52</f>
            </numRef>
          </val>
        </ser>
        <ser>
          <idx val="26"/>
          <order val="26"/>
          <tx>
            <strRef>
              <f>'FEED_FARM'!E52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'FEED_FARM'!$F$52:$E$52</f>
            </numRef>
          </val>
        </ser>
        <ser>
          <idx val="27"/>
          <order val="27"/>
          <tx>
            <strRef>
              <f>'FEED_FARM'!F52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'FEED_FARM'!$G$52:$F$52</f>
            </numRef>
          </val>
        </ser>
        <ser>
          <idx val="28"/>
          <order val="28"/>
          <tx>
            <strRef>
              <f>'FEED_FARM'!G52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'FEED_FARM'!$H$52:$G$52</f>
            </numRef>
          </val>
        </ser>
        <ser>
          <idx val="29"/>
          <order val="29"/>
          <tx>
            <strRef>
              <f>'FEED_FARM'!H52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'FEED_FARM'!$I$52:$H$52</f>
            </numRef>
          </val>
        </ser>
        <ser>
          <idx val="30"/>
          <order val="30"/>
          <tx>
            <strRef>
              <f>'FEED_FARM'!I52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'FEED_FARM'!$J$52:$I$52</f>
            </numRef>
          </val>
        </ser>
        <ser>
          <idx val="31"/>
          <order val="31"/>
          <tx>
            <strRef>
              <f>'FEED_FARM'!J52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'FEED_FARM'!$K$52:$J$52</f>
            </numRef>
          </val>
        </ser>
        <ser>
          <idx val="32"/>
          <order val="32"/>
          <tx>
            <strRef>
              <f>'FEED_FARM'!K52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'FEED_FARM'!$L$52:$K$52</f>
            </numRef>
          </val>
        </ser>
        <ser>
          <idx val="33"/>
          <order val="33"/>
          <tx>
            <strRef>
              <f>'FEED_FARM'!A53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'FEED_FARM'!$B$53:$A$53</f>
            </numRef>
          </val>
        </ser>
        <ser>
          <idx val="34"/>
          <order val="34"/>
          <tx>
            <strRef>
              <f>'FEED_FARM'!B53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'FEED_FARM'!$C$53:$B$53</f>
            </numRef>
          </val>
        </ser>
        <ser>
          <idx val="35"/>
          <order val="35"/>
          <tx>
            <strRef>
              <f>'FEED_FARM'!C53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'FEED_FARM'!$D$53:$C$53</f>
            </numRef>
          </val>
        </ser>
        <ser>
          <idx val="36"/>
          <order val="36"/>
          <tx>
            <strRef>
              <f>'FEED_FARM'!D53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'FEED_FARM'!$E$53:$D$53</f>
            </numRef>
          </val>
        </ser>
        <ser>
          <idx val="37"/>
          <order val="37"/>
          <tx>
            <strRef>
              <f>'FEED_FARM'!E53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'FEED_FARM'!$F$53:$E$53</f>
            </numRef>
          </val>
        </ser>
        <ser>
          <idx val="38"/>
          <order val="38"/>
          <tx>
            <strRef>
              <f>'FEED_FARM'!F53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'FEED_FARM'!$G$53:$F$53</f>
            </numRef>
          </val>
        </ser>
        <ser>
          <idx val="39"/>
          <order val="39"/>
          <tx>
            <strRef>
              <f>'FEED_FARM'!G53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'FEED_FARM'!$H$53:$G$53</f>
            </numRef>
          </val>
        </ser>
        <ser>
          <idx val="40"/>
          <order val="40"/>
          <tx>
            <strRef>
              <f>'FEED_FARM'!H53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'FEED_FARM'!$I$53:$H$53</f>
            </numRef>
          </val>
        </ser>
        <ser>
          <idx val="41"/>
          <order val="41"/>
          <tx>
            <strRef>
              <f>'FEED_FARM'!I53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'FEED_FARM'!$J$53:$I$53</f>
            </numRef>
          </val>
        </ser>
        <ser>
          <idx val="42"/>
          <order val="42"/>
          <tx>
            <strRef>
              <f>'FEED_FARM'!J53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'FEED_FARM'!$K$53:$J$53</f>
            </numRef>
          </val>
        </ser>
        <ser>
          <idx val="43"/>
          <order val="43"/>
          <tx>
            <strRef>
              <f>'FEED_FARM'!K53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'FEED_FARM'!$L$53:$K$53</f>
            </numRef>
          </val>
        </ser>
        <ser>
          <idx val="44"/>
          <order val="44"/>
          <tx>
            <strRef>
              <f>'FEED_FARM'!A54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'FEED_FARM'!$B$54:$A$54</f>
            </numRef>
          </val>
        </ser>
        <ser>
          <idx val="45"/>
          <order val="45"/>
          <tx>
            <strRef>
              <f>'FEED_FARM'!B54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'FEED_FARM'!$C$54:$B$54</f>
            </numRef>
          </val>
        </ser>
        <ser>
          <idx val="46"/>
          <order val="46"/>
          <tx>
            <strRef>
              <f>'FEED_FARM'!C54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'FEED_FARM'!$D$54:$C$54</f>
            </numRef>
          </val>
        </ser>
        <ser>
          <idx val="47"/>
          <order val="47"/>
          <tx>
            <strRef>
              <f>'FEED_FARM'!D54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'FEED_FARM'!$E$54:$D$54</f>
            </numRef>
          </val>
        </ser>
        <ser>
          <idx val="48"/>
          <order val="48"/>
          <tx>
            <strRef>
              <f>'FEED_FARM'!E54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'FEED_FARM'!$F$54:$E$54</f>
            </numRef>
          </val>
        </ser>
        <ser>
          <idx val="49"/>
          <order val="49"/>
          <tx>
            <strRef>
              <f>'FEED_FARM'!F54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'FEED_FARM'!$G$54:$F$54</f>
            </numRef>
          </val>
        </ser>
        <ser>
          <idx val="50"/>
          <order val="50"/>
          <tx>
            <strRef>
              <f>'FEED_FARM'!G54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'FEED_FARM'!$H$54:$G$54</f>
            </numRef>
          </val>
        </ser>
        <ser>
          <idx val="51"/>
          <order val="51"/>
          <tx>
            <strRef>
              <f>'FEED_FARM'!H54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'FEED_FARM'!$I$54:$H$54</f>
            </numRef>
          </val>
        </ser>
        <ser>
          <idx val="52"/>
          <order val="52"/>
          <tx>
            <strRef>
              <f>'FEED_FARM'!I54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'FEED_FARM'!$J$54:$I$54</f>
            </numRef>
          </val>
        </ser>
        <ser>
          <idx val="53"/>
          <order val="53"/>
          <tx>
            <strRef>
              <f>'FEED_FARM'!J54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'FEED_FARM'!$K$54:$J$54</f>
            </numRef>
          </val>
        </ser>
        <ser>
          <idx val="54"/>
          <order val="54"/>
          <tx>
            <strRef>
              <f>'FEED_FARM'!K54</f>
            </strRef>
          </tx>
          <spPr>
            <a:ln xmlns:a="http://schemas.openxmlformats.org/drawingml/2006/main">
              <a:prstDash val="solid"/>
            </a:ln>
          </spPr>
          <cat>
            <numRef>
              <f>'FEED_FARM'!$B$3:$K$3</f>
            </numRef>
          </cat>
          <val>
            <numRef>
              <f>'FEED_FARM'!$L$54:$K$54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Acres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Organic Fertilizer Savings</a:t>
            </a:r>
          </a:p>
        </rich>
      </tx>
    </title>
    <plotArea>
      <lineChart>
        <grouping val="standard"/>
        <ser>
          <idx val="0"/>
          <order val="0"/>
          <tx>
            <strRef>
              <f>'FEED_FARM'!A196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'FEED_FARM'!$B$196:$A$196</f>
            </numRef>
          </val>
        </ser>
        <ser>
          <idx val="1"/>
          <order val="1"/>
          <tx>
            <strRef>
              <f>'FEED_FARM'!B196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'FEED_FARM'!$C$196:$B$196</f>
            </numRef>
          </val>
        </ser>
        <ser>
          <idx val="2"/>
          <order val="2"/>
          <tx>
            <strRef>
              <f>'FEED_FARM'!C196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'FEED_FARM'!$D$196:$C$196</f>
            </numRef>
          </val>
        </ser>
        <ser>
          <idx val="3"/>
          <order val="3"/>
          <tx>
            <strRef>
              <f>'FEED_FARM'!D196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'FEED_FARM'!$E$196:$D$196</f>
            </numRef>
          </val>
        </ser>
        <ser>
          <idx val="4"/>
          <order val="4"/>
          <tx>
            <strRef>
              <f>'FEED_FARM'!E196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'FEED_FARM'!$F$196:$E$196</f>
            </numRef>
          </val>
        </ser>
        <ser>
          <idx val="5"/>
          <order val="5"/>
          <tx>
            <strRef>
              <f>'FEED_FARM'!F196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'FEED_FARM'!$G$196:$F$196</f>
            </numRef>
          </val>
        </ser>
        <ser>
          <idx val="6"/>
          <order val="6"/>
          <tx>
            <strRef>
              <f>'FEED_FARM'!G196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'FEED_FARM'!$H$196:$G$196</f>
            </numRef>
          </val>
        </ser>
        <ser>
          <idx val="7"/>
          <order val="7"/>
          <tx>
            <strRef>
              <f>'FEED_FARM'!H196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'FEED_FARM'!$I$196:$H$196</f>
            </numRef>
          </val>
        </ser>
        <ser>
          <idx val="8"/>
          <order val="8"/>
          <tx>
            <strRef>
              <f>'FEED_FARM'!I196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'FEED_FARM'!$J$196:$I$196</f>
            </numRef>
          </val>
        </ser>
        <ser>
          <idx val="9"/>
          <order val="9"/>
          <tx>
            <strRef>
              <f>'FEED_FARM'!J196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'FEED_FARM'!$K$196:$J$196</f>
            </numRef>
          </val>
        </ser>
        <ser>
          <idx val="10"/>
          <order val="10"/>
          <tx>
            <strRef>
              <f>'FEED_FARM'!K196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'FEED_FARM'!$B$191:$K$191</f>
            </numRef>
          </cat>
          <val>
            <numRef>
              <f>'FEED_FARM'!$L$196:$K$196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Milk Production</a:t>
            </a:r>
          </a:p>
        </rich>
      </tx>
    </title>
    <plotArea>
      <lineChart>
        <grouping val="standard"/>
        <ser>
          <idx val="0"/>
          <order val="0"/>
          <tx>
            <strRef>
              <f>'DAIRY'!A4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'DAIRY'!$B$4:$A$4</f>
            </numRef>
          </val>
        </ser>
        <ser>
          <idx val="1"/>
          <order val="1"/>
          <tx>
            <strRef>
              <f>'DAIRY'!B4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'DAIRY'!$C$4:$B$4</f>
            </numRef>
          </val>
        </ser>
        <ser>
          <idx val="2"/>
          <order val="2"/>
          <tx>
            <strRef>
              <f>'DAIRY'!C4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'DAIRY'!$D$4:$C$4</f>
            </numRef>
          </val>
        </ser>
        <ser>
          <idx val="3"/>
          <order val="3"/>
          <tx>
            <strRef>
              <f>'DAIRY'!D4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'DAIRY'!$E$4:$D$4</f>
            </numRef>
          </val>
        </ser>
        <ser>
          <idx val="4"/>
          <order val="4"/>
          <tx>
            <strRef>
              <f>'DAIRY'!E4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'DAIRY'!$F$4:$E$4</f>
            </numRef>
          </val>
        </ser>
        <ser>
          <idx val="5"/>
          <order val="5"/>
          <tx>
            <strRef>
              <f>'DAIRY'!F4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'DAIRY'!$G$4:$F$4</f>
            </numRef>
          </val>
        </ser>
        <ser>
          <idx val="6"/>
          <order val="6"/>
          <tx>
            <strRef>
              <f>'DAIRY'!G4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'DAIRY'!$H$4:$G$4</f>
            </numRef>
          </val>
        </ser>
        <ser>
          <idx val="7"/>
          <order val="7"/>
          <tx>
            <strRef>
              <f>'DAIRY'!H4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'DAIRY'!$I$4:$H$4</f>
            </numRef>
          </val>
        </ser>
        <ser>
          <idx val="8"/>
          <order val="8"/>
          <tx>
            <strRef>
              <f>'DAIRY'!I4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'DAIRY'!$J$4:$I$4</f>
            </numRef>
          </val>
        </ser>
        <ser>
          <idx val="9"/>
          <order val="9"/>
          <tx>
            <strRef>
              <f>'DAIRY'!J4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'DAIRY'!$K$4:$J$4</f>
            </numRef>
          </val>
        </ser>
        <ser>
          <idx val="10"/>
          <order val="10"/>
          <tx>
            <strRef>
              <f>'DAIRY'!K4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'DAIRY'!$L$4:$K$4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Litres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Dairy Revenue Mix</a:t>
            </a:r>
          </a:p>
        </rich>
      </tx>
    </title>
    <plotArea>
      <lineChart>
        <grouping val="standard"/>
        <ser>
          <idx val="0"/>
          <order val="0"/>
          <tx>
            <strRef>
              <f>'DAIRY'!A8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'DAIRY'!$B$8:$A$8</f>
            </numRef>
          </val>
        </ser>
        <ser>
          <idx val="1"/>
          <order val="1"/>
          <tx>
            <strRef>
              <f>'DAIRY'!B8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'DAIRY'!$C$8:$B$8</f>
            </numRef>
          </val>
        </ser>
        <ser>
          <idx val="2"/>
          <order val="2"/>
          <tx>
            <strRef>
              <f>'DAIRY'!C8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'DAIRY'!$D$8:$C$8</f>
            </numRef>
          </val>
        </ser>
        <ser>
          <idx val="3"/>
          <order val="3"/>
          <tx>
            <strRef>
              <f>'DAIRY'!D8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'DAIRY'!$E$8:$D$8</f>
            </numRef>
          </val>
        </ser>
        <ser>
          <idx val="4"/>
          <order val="4"/>
          <tx>
            <strRef>
              <f>'DAIRY'!E8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'DAIRY'!$F$8:$E$8</f>
            </numRef>
          </val>
        </ser>
        <ser>
          <idx val="5"/>
          <order val="5"/>
          <tx>
            <strRef>
              <f>'DAIRY'!F8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'DAIRY'!$G$8:$F$8</f>
            </numRef>
          </val>
        </ser>
        <ser>
          <idx val="6"/>
          <order val="6"/>
          <tx>
            <strRef>
              <f>'DAIRY'!G8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'DAIRY'!$H$8:$G$8</f>
            </numRef>
          </val>
        </ser>
        <ser>
          <idx val="7"/>
          <order val="7"/>
          <tx>
            <strRef>
              <f>'DAIRY'!H8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'DAIRY'!$I$8:$H$8</f>
            </numRef>
          </val>
        </ser>
        <ser>
          <idx val="8"/>
          <order val="8"/>
          <tx>
            <strRef>
              <f>'DAIRY'!I8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'DAIRY'!$J$8:$I$8</f>
            </numRef>
          </val>
        </ser>
        <ser>
          <idx val="9"/>
          <order val="9"/>
          <tx>
            <strRef>
              <f>'DAIRY'!J8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'DAIRY'!$K$8:$J$8</f>
            </numRef>
          </val>
        </ser>
        <ser>
          <idx val="10"/>
          <order val="10"/>
          <tx>
            <strRef>
              <f>'DAIRY'!K8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'DAIRY'!$L$8:$K$8</f>
            </numRef>
          </val>
        </ser>
        <ser>
          <idx val="11"/>
          <order val="11"/>
          <tx>
            <strRef>
              <f>'DAIRY'!A9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'DAIRY'!$B$9:$A$9</f>
            </numRef>
          </val>
        </ser>
        <ser>
          <idx val="12"/>
          <order val="12"/>
          <tx>
            <strRef>
              <f>'DAIRY'!B9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'DAIRY'!$C$9:$B$9</f>
            </numRef>
          </val>
        </ser>
        <ser>
          <idx val="13"/>
          <order val="13"/>
          <tx>
            <strRef>
              <f>'DAIRY'!C9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'DAIRY'!$D$9:$C$9</f>
            </numRef>
          </val>
        </ser>
        <ser>
          <idx val="14"/>
          <order val="14"/>
          <tx>
            <strRef>
              <f>'DAIRY'!D9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'DAIRY'!$E$9:$D$9</f>
            </numRef>
          </val>
        </ser>
        <ser>
          <idx val="15"/>
          <order val="15"/>
          <tx>
            <strRef>
              <f>'DAIRY'!E9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'DAIRY'!$F$9:$E$9</f>
            </numRef>
          </val>
        </ser>
        <ser>
          <idx val="16"/>
          <order val="16"/>
          <tx>
            <strRef>
              <f>'DAIRY'!F9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'DAIRY'!$G$9:$F$9</f>
            </numRef>
          </val>
        </ser>
        <ser>
          <idx val="17"/>
          <order val="17"/>
          <tx>
            <strRef>
              <f>'DAIRY'!G9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'DAIRY'!$H$9:$G$9</f>
            </numRef>
          </val>
        </ser>
        <ser>
          <idx val="18"/>
          <order val="18"/>
          <tx>
            <strRef>
              <f>'DAIRY'!H9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'DAIRY'!$I$9:$H$9</f>
            </numRef>
          </val>
        </ser>
        <ser>
          <idx val="19"/>
          <order val="19"/>
          <tx>
            <strRef>
              <f>'DAIRY'!I9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'DAIRY'!$J$9:$I$9</f>
            </numRef>
          </val>
        </ser>
        <ser>
          <idx val="20"/>
          <order val="20"/>
          <tx>
            <strRef>
              <f>'DAIRY'!J9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'DAIRY'!$K$9:$J$9</f>
            </numRef>
          </val>
        </ser>
        <ser>
          <idx val="21"/>
          <order val="21"/>
          <tx>
            <strRef>
              <f>'DAIRY'!K9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'DAIRY'!$L$9:$K$9</f>
            </numRef>
          </val>
        </ser>
        <ser>
          <idx val="22"/>
          <order val="22"/>
          <tx>
            <strRef>
              <f>'DAIRY'!A10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'DAIRY'!$B$10:$A$10</f>
            </numRef>
          </val>
        </ser>
        <ser>
          <idx val="23"/>
          <order val="23"/>
          <tx>
            <strRef>
              <f>'DAIRY'!B10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'DAIRY'!$C$10:$B$10</f>
            </numRef>
          </val>
        </ser>
        <ser>
          <idx val="24"/>
          <order val="24"/>
          <tx>
            <strRef>
              <f>'DAIRY'!C10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'DAIRY'!$D$10:$C$10</f>
            </numRef>
          </val>
        </ser>
        <ser>
          <idx val="25"/>
          <order val="25"/>
          <tx>
            <strRef>
              <f>'DAIRY'!D10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'DAIRY'!$E$10:$D$10</f>
            </numRef>
          </val>
        </ser>
        <ser>
          <idx val="26"/>
          <order val="26"/>
          <tx>
            <strRef>
              <f>'DAIRY'!E10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'DAIRY'!$F$10:$E$10</f>
            </numRef>
          </val>
        </ser>
        <ser>
          <idx val="27"/>
          <order val="27"/>
          <tx>
            <strRef>
              <f>'DAIRY'!F10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'DAIRY'!$G$10:$F$10</f>
            </numRef>
          </val>
        </ser>
        <ser>
          <idx val="28"/>
          <order val="28"/>
          <tx>
            <strRef>
              <f>'DAIRY'!G10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'DAIRY'!$H$10:$G$10</f>
            </numRef>
          </val>
        </ser>
        <ser>
          <idx val="29"/>
          <order val="29"/>
          <tx>
            <strRef>
              <f>'DAIRY'!H10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'DAIRY'!$I$10:$H$10</f>
            </numRef>
          </val>
        </ser>
        <ser>
          <idx val="30"/>
          <order val="30"/>
          <tx>
            <strRef>
              <f>'DAIRY'!I10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'DAIRY'!$J$10:$I$10</f>
            </numRef>
          </val>
        </ser>
        <ser>
          <idx val="31"/>
          <order val="31"/>
          <tx>
            <strRef>
              <f>'DAIRY'!J10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'DAIRY'!$K$10:$J$10</f>
            </numRef>
          </val>
        </ser>
        <ser>
          <idx val="32"/>
          <order val="32"/>
          <tx>
            <strRef>
              <f>'DAIRY'!K10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'DAIRY'!$L$10:$K$10</f>
            </numRef>
          </val>
        </ser>
        <ser>
          <idx val="33"/>
          <order val="33"/>
          <tx>
            <strRef>
              <f>'DAIRY'!A11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'DAIRY'!$B$11:$A$11</f>
            </numRef>
          </val>
        </ser>
        <ser>
          <idx val="34"/>
          <order val="34"/>
          <tx>
            <strRef>
              <f>'DAIRY'!B11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'DAIRY'!$C$11:$B$11</f>
            </numRef>
          </val>
        </ser>
        <ser>
          <idx val="35"/>
          <order val="35"/>
          <tx>
            <strRef>
              <f>'DAIRY'!C11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'DAIRY'!$D$11:$C$11</f>
            </numRef>
          </val>
        </ser>
        <ser>
          <idx val="36"/>
          <order val="36"/>
          <tx>
            <strRef>
              <f>'DAIRY'!D11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'DAIRY'!$E$11:$D$11</f>
            </numRef>
          </val>
        </ser>
        <ser>
          <idx val="37"/>
          <order val="37"/>
          <tx>
            <strRef>
              <f>'DAIRY'!E11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'DAIRY'!$F$11:$E$11</f>
            </numRef>
          </val>
        </ser>
        <ser>
          <idx val="38"/>
          <order val="38"/>
          <tx>
            <strRef>
              <f>'DAIRY'!F11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'DAIRY'!$G$11:$F$11</f>
            </numRef>
          </val>
        </ser>
        <ser>
          <idx val="39"/>
          <order val="39"/>
          <tx>
            <strRef>
              <f>'DAIRY'!G11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'DAIRY'!$H$11:$G$11</f>
            </numRef>
          </val>
        </ser>
        <ser>
          <idx val="40"/>
          <order val="40"/>
          <tx>
            <strRef>
              <f>'DAIRY'!H11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'DAIRY'!$I$11:$H$11</f>
            </numRef>
          </val>
        </ser>
        <ser>
          <idx val="41"/>
          <order val="41"/>
          <tx>
            <strRef>
              <f>'DAIRY'!I11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'DAIRY'!$J$11:$I$11</f>
            </numRef>
          </val>
        </ser>
        <ser>
          <idx val="42"/>
          <order val="42"/>
          <tx>
            <strRef>
              <f>'DAIRY'!J11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'DAIRY'!$K$11:$J$11</f>
            </numRef>
          </val>
        </ser>
        <ser>
          <idx val="43"/>
          <order val="43"/>
          <tx>
            <strRef>
              <f>'DAIRY'!K11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'DAIRY'!$B$3:$K$3</f>
            </numRef>
          </cat>
          <val>
            <numRef>
              <f>'DAIRY'!$L$11:$K$11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Dairy Manure Allocation</a:t>
            </a:r>
          </a:p>
        </rich>
      </tx>
    </title>
    <plotArea>
      <lineChart>
        <grouping val="standard"/>
        <ser>
          <idx val="0"/>
          <order val="0"/>
          <tx>
            <strRef>
              <f>'DAIRY'!A22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'DAIRY'!$B$22:$A$22</f>
            </numRef>
          </val>
        </ser>
        <ser>
          <idx val="1"/>
          <order val="1"/>
          <tx>
            <strRef>
              <f>'DAIRY'!B22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'DAIRY'!$C$22:$B$22</f>
            </numRef>
          </val>
        </ser>
        <ser>
          <idx val="2"/>
          <order val="2"/>
          <tx>
            <strRef>
              <f>'DAIRY'!C22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'DAIRY'!$D$22:$C$22</f>
            </numRef>
          </val>
        </ser>
        <ser>
          <idx val="3"/>
          <order val="3"/>
          <tx>
            <strRef>
              <f>'DAIRY'!D22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'DAIRY'!$E$22:$D$22</f>
            </numRef>
          </val>
        </ser>
        <ser>
          <idx val="4"/>
          <order val="4"/>
          <tx>
            <strRef>
              <f>'DAIRY'!E22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'DAIRY'!$F$22:$E$22</f>
            </numRef>
          </val>
        </ser>
        <ser>
          <idx val="5"/>
          <order val="5"/>
          <tx>
            <strRef>
              <f>'DAIRY'!F22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'DAIRY'!$G$22:$F$22</f>
            </numRef>
          </val>
        </ser>
        <ser>
          <idx val="6"/>
          <order val="6"/>
          <tx>
            <strRef>
              <f>'DAIRY'!G22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'DAIRY'!$H$22:$G$22</f>
            </numRef>
          </val>
        </ser>
        <ser>
          <idx val="7"/>
          <order val="7"/>
          <tx>
            <strRef>
              <f>'DAIRY'!H22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'DAIRY'!$I$22:$H$22</f>
            </numRef>
          </val>
        </ser>
        <ser>
          <idx val="8"/>
          <order val="8"/>
          <tx>
            <strRef>
              <f>'DAIRY'!I22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'DAIRY'!$J$22:$I$22</f>
            </numRef>
          </val>
        </ser>
        <ser>
          <idx val="9"/>
          <order val="9"/>
          <tx>
            <strRef>
              <f>'DAIRY'!J22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'DAIRY'!$K$22:$J$22</f>
            </numRef>
          </val>
        </ser>
        <ser>
          <idx val="10"/>
          <order val="10"/>
          <tx>
            <strRef>
              <f>'DAIRY'!K22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'DAIRY'!$L$22:$K$22</f>
            </numRef>
          </val>
        </ser>
        <ser>
          <idx val="11"/>
          <order val="11"/>
          <tx>
            <strRef>
              <f>'DAIRY'!A23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'DAIRY'!$B$23:$A$23</f>
            </numRef>
          </val>
        </ser>
        <ser>
          <idx val="12"/>
          <order val="12"/>
          <tx>
            <strRef>
              <f>'DAIRY'!B23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'DAIRY'!$C$23:$B$23</f>
            </numRef>
          </val>
        </ser>
        <ser>
          <idx val="13"/>
          <order val="13"/>
          <tx>
            <strRef>
              <f>'DAIRY'!C23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'DAIRY'!$D$23:$C$23</f>
            </numRef>
          </val>
        </ser>
        <ser>
          <idx val="14"/>
          <order val="14"/>
          <tx>
            <strRef>
              <f>'DAIRY'!D23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'DAIRY'!$E$23:$D$23</f>
            </numRef>
          </val>
        </ser>
        <ser>
          <idx val="15"/>
          <order val="15"/>
          <tx>
            <strRef>
              <f>'DAIRY'!E23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'DAIRY'!$F$23:$E$23</f>
            </numRef>
          </val>
        </ser>
        <ser>
          <idx val="16"/>
          <order val="16"/>
          <tx>
            <strRef>
              <f>'DAIRY'!F23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'DAIRY'!$G$23:$F$23</f>
            </numRef>
          </val>
        </ser>
        <ser>
          <idx val="17"/>
          <order val="17"/>
          <tx>
            <strRef>
              <f>'DAIRY'!G23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'DAIRY'!$H$23:$G$23</f>
            </numRef>
          </val>
        </ser>
        <ser>
          <idx val="18"/>
          <order val="18"/>
          <tx>
            <strRef>
              <f>'DAIRY'!H23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'DAIRY'!$I$23:$H$23</f>
            </numRef>
          </val>
        </ser>
        <ser>
          <idx val="19"/>
          <order val="19"/>
          <tx>
            <strRef>
              <f>'DAIRY'!I23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'DAIRY'!$J$23:$I$23</f>
            </numRef>
          </val>
        </ser>
        <ser>
          <idx val="20"/>
          <order val="20"/>
          <tx>
            <strRef>
              <f>'DAIRY'!J23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'DAIRY'!$K$23:$J$23</f>
            </numRef>
          </val>
        </ser>
        <ser>
          <idx val="21"/>
          <order val="21"/>
          <tx>
            <strRef>
              <f>'DAIRY'!K23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'DAIRY'!$L$23:$K$23</f>
            </numRef>
          </val>
        </ser>
        <ser>
          <idx val="22"/>
          <order val="22"/>
          <tx>
            <strRef>
              <f>'DAIRY'!A25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'DAIRY'!$B$25:$A$25</f>
            </numRef>
          </val>
        </ser>
        <ser>
          <idx val="23"/>
          <order val="23"/>
          <tx>
            <strRef>
              <f>'DAIRY'!B25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'DAIRY'!$C$25:$B$25</f>
            </numRef>
          </val>
        </ser>
        <ser>
          <idx val="24"/>
          <order val="24"/>
          <tx>
            <strRef>
              <f>'DAIRY'!C25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'DAIRY'!$D$25:$C$25</f>
            </numRef>
          </val>
        </ser>
        <ser>
          <idx val="25"/>
          <order val="25"/>
          <tx>
            <strRef>
              <f>'DAIRY'!D25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'DAIRY'!$E$25:$D$25</f>
            </numRef>
          </val>
        </ser>
        <ser>
          <idx val="26"/>
          <order val="26"/>
          <tx>
            <strRef>
              <f>'DAIRY'!E25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'DAIRY'!$F$25:$E$25</f>
            </numRef>
          </val>
        </ser>
        <ser>
          <idx val="27"/>
          <order val="27"/>
          <tx>
            <strRef>
              <f>'DAIRY'!F25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'DAIRY'!$G$25:$F$25</f>
            </numRef>
          </val>
        </ser>
        <ser>
          <idx val="28"/>
          <order val="28"/>
          <tx>
            <strRef>
              <f>'DAIRY'!G25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'DAIRY'!$H$25:$G$25</f>
            </numRef>
          </val>
        </ser>
        <ser>
          <idx val="29"/>
          <order val="29"/>
          <tx>
            <strRef>
              <f>'DAIRY'!H25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'DAIRY'!$I$25:$H$25</f>
            </numRef>
          </val>
        </ser>
        <ser>
          <idx val="30"/>
          <order val="30"/>
          <tx>
            <strRef>
              <f>'DAIRY'!I25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'DAIRY'!$J$25:$I$25</f>
            </numRef>
          </val>
        </ser>
        <ser>
          <idx val="31"/>
          <order val="31"/>
          <tx>
            <strRef>
              <f>'DAIRY'!J25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'DAIRY'!$K$25:$J$25</f>
            </numRef>
          </val>
        </ser>
        <ser>
          <idx val="32"/>
          <order val="32"/>
          <tx>
            <strRef>
              <f>'DAIRY'!K25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'DAIRY'!$L$25:$K$25</f>
            </numRef>
          </val>
        </ser>
        <ser>
          <idx val="33"/>
          <order val="33"/>
          <tx>
            <strRef>
              <f>'DAIRY'!A26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'DAIRY'!$B$26:$A$26</f>
            </numRef>
          </val>
        </ser>
        <ser>
          <idx val="34"/>
          <order val="34"/>
          <tx>
            <strRef>
              <f>'DAIRY'!B26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'DAIRY'!$C$26:$B$26</f>
            </numRef>
          </val>
        </ser>
        <ser>
          <idx val="35"/>
          <order val="35"/>
          <tx>
            <strRef>
              <f>'DAIRY'!C26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'DAIRY'!$D$26:$C$26</f>
            </numRef>
          </val>
        </ser>
        <ser>
          <idx val="36"/>
          <order val="36"/>
          <tx>
            <strRef>
              <f>'DAIRY'!D26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'DAIRY'!$E$26:$D$26</f>
            </numRef>
          </val>
        </ser>
        <ser>
          <idx val="37"/>
          <order val="37"/>
          <tx>
            <strRef>
              <f>'DAIRY'!E26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'DAIRY'!$F$26:$E$26</f>
            </numRef>
          </val>
        </ser>
        <ser>
          <idx val="38"/>
          <order val="38"/>
          <tx>
            <strRef>
              <f>'DAIRY'!F26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'DAIRY'!$G$26:$F$26</f>
            </numRef>
          </val>
        </ser>
        <ser>
          <idx val="39"/>
          <order val="39"/>
          <tx>
            <strRef>
              <f>'DAIRY'!G26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'DAIRY'!$H$26:$G$26</f>
            </numRef>
          </val>
        </ser>
        <ser>
          <idx val="40"/>
          <order val="40"/>
          <tx>
            <strRef>
              <f>'DAIRY'!H26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'DAIRY'!$I$26:$H$26</f>
            </numRef>
          </val>
        </ser>
        <ser>
          <idx val="41"/>
          <order val="41"/>
          <tx>
            <strRef>
              <f>'DAIRY'!I26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'DAIRY'!$J$26:$I$26</f>
            </numRef>
          </val>
        </ser>
        <ser>
          <idx val="42"/>
          <order val="42"/>
          <tx>
            <strRef>
              <f>'DAIRY'!J26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'DAIRY'!$K$26:$J$26</f>
            </numRef>
          </val>
        </ser>
        <ser>
          <idx val="43"/>
          <order val="43"/>
          <tx>
            <strRef>
              <f>'DAIRY'!K26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'DAIRY'!$B$21:$K$21</f>
            </numRef>
          </cat>
          <val>
            <numRef>
              <f>'DAIRY'!$L$26:$K$26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Bags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Bull Purchases, Retained Supply and Sales</a:t>
            </a:r>
          </a:p>
        </rich>
      </tx>
    </title>
    <plotArea>
      <lineChart>
        <grouping val="standard"/>
        <ser>
          <idx val="0"/>
          <order val="0"/>
          <tx>
            <strRef>
              <f>'FATTENING'!A5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'FATTENING'!$B$5:$A$5</f>
            </numRef>
          </val>
        </ser>
        <ser>
          <idx val="1"/>
          <order val="1"/>
          <tx>
            <strRef>
              <f>'FATTENING'!B5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'FATTENING'!$C$5:$B$5</f>
            </numRef>
          </val>
        </ser>
        <ser>
          <idx val="2"/>
          <order val="2"/>
          <tx>
            <strRef>
              <f>'FATTENING'!C5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'FATTENING'!$D$5:$C$5</f>
            </numRef>
          </val>
        </ser>
        <ser>
          <idx val="3"/>
          <order val="3"/>
          <tx>
            <strRef>
              <f>'FATTENING'!D5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'FATTENING'!$E$5:$D$5</f>
            </numRef>
          </val>
        </ser>
        <ser>
          <idx val="4"/>
          <order val="4"/>
          <tx>
            <strRef>
              <f>'FATTENING'!E5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'FATTENING'!$F$5:$E$5</f>
            </numRef>
          </val>
        </ser>
        <ser>
          <idx val="5"/>
          <order val="5"/>
          <tx>
            <strRef>
              <f>'FATTENING'!F5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'FATTENING'!$G$5:$F$5</f>
            </numRef>
          </val>
        </ser>
        <ser>
          <idx val="6"/>
          <order val="6"/>
          <tx>
            <strRef>
              <f>'FATTENING'!G5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'FATTENING'!$H$5:$G$5</f>
            </numRef>
          </val>
        </ser>
        <ser>
          <idx val="7"/>
          <order val="7"/>
          <tx>
            <strRef>
              <f>'FATTENING'!H5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'FATTENING'!$I$5:$H$5</f>
            </numRef>
          </val>
        </ser>
        <ser>
          <idx val="8"/>
          <order val="8"/>
          <tx>
            <strRef>
              <f>'FATTENING'!I5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'FATTENING'!$J$5:$I$5</f>
            </numRef>
          </val>
        </ser>
        <ser>
          <idx val="9"/>
          <order val="9"/>
          <tx>
            <strRef>
              <f>'FATTENING'!J5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'FATTENING'!$K$5:$J$5</f>
            </numRef>
          </val>
        </ser>
        <ser>
          <idx val="10"/>
          <order val="10"/>
          <tx>
            <strRef>
              <f>'FATTENING'!K5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'FATTENING'!$L$5:$K$5</f>
            </numRef>
          </val>
        </ser>
        <ser>
          <idx val="11"/>
          <order val="11"/>
          <tx>
            <strRef>
              <f>'FATTENING'!A6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'FATTENING'!$B$6:$A$6</f>
            </numRef>
          </val>
        </ser>
        <ser>
          <idx val="12"/>
          <order val="12"/>
          <tx>
            <strRef>
              <f>'FATTENING'!B6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'FATTENING'!$C$6:$B$6</f>
            </numRef>
          </val>
        </ser>
        <ser>
          <idx val="13"/>
          <order val="13"/>
          <tx>
            <strRef>
              <f>'FATTENING'!C6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'FATTENING'!$D$6:$C$6</f>
            </numRef>
          </val>
        </ser>
        <ser>
          <idx val="14"/>
          <order val="14"/>
          <tx>
            <strRef>
              <f>'FATTENING'!D6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'FATTENING'!$E$6:$D$6</f>
            </numRef>
          </val>
        </ser>
        <ser>
          <idx val="15"/>
          <order val="15"/>
          <tx>
            <strRef>
              <f>'FATTENING'!E6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'FATTENING'!$F$6:$E$6</f>
            </numRef>
          </val>
        </ser>
        <ser>
          <idx val="16"/>
          <order val="16"/>
          <tx>
            <strRef>
              <f>'FATTENING'!F6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'FATTENING'!$G$6:$F$6</f>
            </numRef>
          </val>
        </ser>
        <ser>
          <idx val="17"/>
          <order val="17"/>
          <tx>
            <strRef>
              <f>'FATTENING'!G6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'FATTENING'!$H$6:$G$6</f>
            </numRef>
          </val>
        </ser>
        <ser>
          <idx val="18"/>
          <order val="18"/>
          <tx>
            <strRef>
              <f>'FATTENING'!H6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'FATTENING'!$I$6:$H$6</f>
            </numRef>
          </val>
        </ser>
        <ser>
          <idx val="19"/>
          <order val="19"/>
          <tx>
            <strRef>
              <f>'FATTENING'!I6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'FATTENING'!$J$6:$I$6</f>
            </numRef>
          </val>
        </ser>
        <ser>
          <idx val="20"/>
          <order val="20"/>
          <tx>
            <strRef>
              <f>'FATTENING'!J6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'FATTENING'!$K$6:$J$6</f>
            </numRef>
          </val>
        </ser>
        <ser>
          <idx val="21"/>
          <order val="21"/>
          <tx>
            <strRef>
              <f>'FATTENING'!K6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'FATTENING'!$L$6:$K$6</f>
            </numRef>
          </val>
        </ser>
        <ser>
          <idx val="22"/>
          <order val="22"/>
          <tx>
            <strRef>
              <f>'FATTENING'!A13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'FATTENING'!$B$13:$A$13</f>
            </numRef>
          </val>
        </ser>
        <ser>
          <idx val="23"/>
          <order val="23"/>
          <tx>
            <strRef>
              <f>'FATTENING'!B13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'FATTENING'!$C$13:$B$13</f>
            </numRef>
          </val>
        </ser>
        <ser>
          <idx val="24"/>
          <order val="24"/>
          <tx>
            <strRef>
              <f>'FATTENING'!C13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'FATTENING'!$D$13:$C$13</f>
            </numRef>
          </val>
        </ser>
        <ser>
          <idx val="25"/>
          <order val="25"/>
          <tx>
            <strRef>
              <f>'FATTENING'!D13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'FATTENING'!$E$13:$D$13</f>
            </numRef>
          </val>
        </ser>
        <ser>
          <idx val="26"/>
          <order val="26"/>
          <tx>
            <strRef>
              <f>'FATTENING'!E13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'FATTENING'!$F$13:$E$13</f>
            </numRef>
          </val>
        </ser>
        <ser>
          <idx val="27"/>
          <order val="27"/>
          <tx>
            <strRef>
              <f>'FATTENING'!F13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'FATTENING'!$G$13:$F$13</f>
            </numRef>
          </val>
        </ser>
        <ser>
          <idx val="28"/>
          <order val="28"/>
          <tx>
            <strRef>
              <f>'FATTENING'!G13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'FATTENING'!$H$13:$G$13</f>
            </numRef>
          </val>
        </ser>
        <ser>
          <idx val="29"/>
          <order val="29"/>
          <tx>
            <strRef>
              <f>'FATTENING'!H13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'FATTENING'!$I$13:$H$13</f>
            </numRef>
          </val>
        </ser>
        <ser>
          <idx val="30"/>
          <order val="30"/>
          <tx>
            <strRef>
              <f>'FATTENING'!I13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'FATTENING'!$J$13:$I$13</f>
            </numRef>
          </val>
        </ser>
        <ser>
          <idx val="31"/>
          <order val="31"/>
          <tx>
            <strRef>
              <f>'FATTENING'!J13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'FATTENING'!$K$13:$J$13</f>
            </numRef>
          </val>
        </ser>
        <ser>
          <idx val="32"/>
          <order val="32"/>
          <tx>
            <strRef>
              <f>'FATTENING'!K13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'FATTENING'!$L$13:$K$13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Head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Fattening Revenue and CFADS</a:t>
            </a:r>
          </a:p>
        </rich>
      </tx>
    </title>
    <plotArea>
      <lineChart>
        <grouping val="standard"/>
        <ser>
          <idx val="0"/>
          <order val="0"/>
          <tx>
            <strRef>
              <f>'FATTENING'!A14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'FATTENING'!$B$14:$A$14</f>
            </numRef>
          </val>
        </ser>
        <ser>
          <idx val="1"/>
          <order val="1"/>
          <tx>
            <strRef>
              <f>'FATTENING'!B14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'FATTENING'!$C$14:$B$14</f>
            </numRef>
          </val>
        </ser>
        <ser>
          <idx val="2"/>
          <order val="2"/>
          <tx>
            <strRef>
              <f>'FATTENING'!C14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'FATTENING'!$D$14:$C$14</f>
            </numRef>
          </val>
        </ser>
        <ser>
          <idx val="3"/>
          <order val="3"/>
          <tx>
            <strRef>
              <f>'FATTENING'!D14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'FATTENING'!$E$14:$D$14</f>
            </numRef>
          </val>
        </ser>
        <ser>
          <idx val="4"/>
          <order val="4"/>
          <tx>
            <strRef>
              <f>'FATTENING'!E14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'FATTENING'!$F$14:$E$14</f>
            </numRef>
          </val>
        </ser>
        <ser>
          <idx val="5"/>
          <order val="5"/>
          <tx>
            <strRef>
              <f>'FATTENING'!F14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'FATTENING'!$G$14:$F$14</f>
            </numRef>
          </val>
        </ser>
        <ser>
          <idx val="6"/>
          <order val="6"/>
          <tx>
            <strRef>
              <f>'FATTENING'!G14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'FATTENING'!$H$14:$G$14</f>
            </numRef>
          </val>
        </ser>
        <ser>
          <idx val="7"/>
          <order val="7"/>
          <tx>
            <strRef>
              <f>'FATTENING'!H14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'FATTENING'!$I$14:$H$14</f>
            </numRef>
          </val>
        </ser>
        <ser>
          <idx val="8"/>
          <order val="8"/>
          <tx>
            <strRef>
              <f>'FATTENING'!I14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'FATTENING'!$J$14:$I$14</f>
            </numRef>
          </val>
        </ser>
        <ser>
          <idx val="9"/>
          <order val="9"/>
          <tx>
            <strRef>
              <f>'FATTENING'!J14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'FATTENING'!$K$14:$J$14</f>
            </numRef>
          </val>
        </ser>
        <ser>
          <idx val="10"/>
          <order val="10"/>
          <tx>
            <strRef>
              <f>'FATTENING'!K14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'FATTENING'!$L$14:$K$14</f>
            </numRef>
          </val>
        </ser>
        <ser>
          <idx val="11"/>
          <order val="11"/>
          <tx>
            <strRef>
              <f>'FATTENING'!A21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'FATTENING'!$B$21:$A$21</f>
            </numRef>
          </val>
        </ser>
        <ser>
          <idx val="12"/>
          <order val="12"/>
          <tx>
            <strRef>
              <f>'FATTENING'!B21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'FATTENING'!$C$21:$B$21</f>
            </numRef>
          </val>
        </ser>
        <ser>
          <idx val="13"/>
          <order val="13"/>
          <tx>
            <strRef>
              <f>'FATTENING'!C21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'FATTENING'!$D$21:$C$21</f>
            </numRef>
          </val>
        </ser>
        <ser>
          <idx val="14"/>
          <order val="14"/>
          <tx>
            <strRef>
              <f>'FATTENING'!D21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'FATTENING'!$E$21:$D$21</f>
            </numRef>
          </val>
        </ser>
        <ser>
          <idx val="15"/>
          <order val="15"/>
          <tx>
            <strRef>
              <f>'FATTENING'!E21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'FATTENING'!$F$21:$E$21</f>
            </numRef>
          </val>
        </ser>
        <ser>
          <idx val="16"/>
          <order val="16"/>
          <tx>
            <strRef>
              <f>'FATTENING'!F21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'FATTENING'!$G$21:$F$21</f>
            </numRef>
          </val>
        </ser>
        <ser>
          <idx val="17"/>
          <order val="17"/>
          <tx>
            <strRef>
              <f>'FATTENING'!G21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'FATTENING'!$H$21:$G$21</f>
            </numRef>
          </val>
        </ser>
        <ser>
          <idx val="18"/>
          <order val="18"/>
          <tx>
            <strRef>
              <f>'FATTENING'!H21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'FATTENING'!$I$21:$H$21</f>
            </numRef>
          </val>
        </ser>
        <ser>
          <idx val="19"/>
          <order val="19"/>
          <tx>
            <strRef>
              <f>'FATTENING'!I21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'FATTENING'!$J$21:$I$21</f>
            </numRef>
          </val>
        </ser>
        <ser>
          <idx val="20"/>
          <order val="20"/>
          <tx>
            <strRef>
              <f>'FATTENING'!J21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'FATTENING'!$K$21:$J$21</f>
            </numRef>
          </val>
        </ser>
        <ser>
          <idx val="21"/>
          <order val="21"/>
          <tx>
            <strRef>
              <f>'FATTENING'!K21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'FATTENING'!$B$3:$K$3</f>
            </numRef>
          </cat>
          <val>
            <numRef>
              <f>'FATTENING'!$L$21:$K$21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Fattening Manure Allocation</a:t>
            </a:r>
          </a:p>
        </rich>
      </tx>
    </title>
    <plotArea>
      <lineChart>
        <grouping val="standard"/>
        <ser>
          <idx val="0"/>
          <order val="0"/>
          <tx>
            <strRef>
              <f>'FATTENING'!A42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'FATTENING'!$B$42:$A$42</f>
            </numRef>
          </val>
        </ser>
        <ser>
          <idx val="1"/>
          <order val="1"/>
          <tx>
            <strRef>
              <f>'FATTENING'!B42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'FATTENING'!$C$42:$B$42</f>
            </numRef>
          </val>
        </ser>
        <ser>
          <idx val="2"/>
          <order val="2"/>
          <tx>
            <strRef>
              <f>'FATTENING'!C42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'FATTENING'!$D$42:$C$42</f>
            </numRef>
          </val>
        </ser>
        <ser>
          <idx val="3"/>
          <order val="3"/>
          <tx>
            <strRef>
              <f>'FATTENING'!D42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'FATTENING'!$E$42:$D$42</f>
            </numRef>
          </val>
        </ser>
        <ser>
          <idx val="4"/>
          <order val="4"/>
          <tx>
            <strRef>
              <f>'FATTENING'!E42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'FATTENING'!$F$42:$E$42</f>
            </numRef>
          </val>
        </ser>
        <ser>
          <idx val="5"/>
          <order val="5"/>
          <tx>
            <strRef>
              <f>'FATTENING'!F42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'FATTENING'!$G$42:$F$42</f>
            </numRef>
          </val>
        </ser>
        <ser>
          <idx val="6"/>
          <order val="6"/>
          <tx>
            <strRef>
              <f>'FATTENING'!G42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'FATTENING'!$H$42:$G$42</f>
            </numRef>
          </val>
        </ser>
        <ser>
          <idx val="7"/>
          <order val="7"/>
          <tx>
            <strRef>
              <f>'FATTENING'!H42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'FATTENING'!$I$42:$H$42</f>
            </numRef>
          </val>
        </ser>
        <ser>
          <idx val="8"/>
          <order val="8"/>
          <tx>
            <strRef>
              <f>'FATTENING'!I42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'FATTENING'!$J$42:$I$42</f>
            </numRef>
          </val>
        </ser>
        <ser>
          <idx val="9"/>
          <order val="9"/>
          <tx>
            <strRef>
              <f>'FATTENING'!J42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'FATTENING'!$K$42:$J$42</f>
            </numRef>
          </val>
        </ser>
        <ser>
          <idx val="10"/>
          <order val="10"/>
          <tx>
            <strRef>
              <f>'FATTENING'!K42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'FATTENING'!$L$42:$K$42</f>
            </numRef>
          </val>
        </ser>
        <ser>
          <idx val="11"/>
          <order val="11"/>
          <tx>
            <strRef>
              <f>'FATTENING'!A43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'FATTENING'!$B$43:$A$43</f>
            </numRef>
          </val>
        </ser>
        <ser>
          <idx val="12"/>
          <order val="12"/>
          <tx>
            <strRef>
              <f>'FATTENING'!B43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'FATTENING'!$C$43:$B$43</f>
            </numRef>
          </val>
        </ser>
        <ser>
          <idx val="13"/>
          <order val="13"/>
          <tx>
            <strRef>
              <f>'FATTENING'!C43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'FATTENING'!$D$43:$C$43</f>
            </numRef>
          </val>
        </ser>
        <ser>
          <idx val="14"/>
          <order val="14"/>
          <tx>
            <strRef>
              <f>'FATTENING'!D43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'FATTENING'!$E$43:$D$43</f>
            </numRef>
          </val>
        </ser>
        <ser>
          <idx val="15"/>
          <order val="15"/>
          <tx>
            <strRef>
              <f>'FATTENING'!E43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'FATTENING'!$F$43:$E$43</f>
            </numRef>
          </val>
        </ser>
        <ser>
          <idx val="16"/>
          <order val="16"/>
          <tx>
            <strRef>
              <f>'FATTENING'!F43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'FATTENING'!$G$43:$F$43</f>
            </numRef>
          </val>
        </ser>
        <ser>
          <idx val="17"/>
          <order val="17"/>
          <tx>
            <strRef>
              <f>'FATTENING'!G43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'FATTENING'!$H$43:$G$43</f>
            </numRef>
          </val>
        </ser>
        <ser>
          <idx val="18"/>
          <order val="18"/>
          <tx>
            <strRef>
              <f>'FATTENING'!H43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'FATTENING'!$I$43:$H$43</f>
            </numRef>
          </val>
        </ser>
        <ser>
          <idx val="19"/>
          <order val="19"/>
          <tx>
            <strRef>
              <f>'FATTENING'!I43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'FATTENING'!$J$43:$I$43</f>
            </numRef>
          </val>
        </ser>
        <ser>
          <idx val="20"/>
          <order val="20"/>
          <tx>
            <strRef>
              <f>'FATTENING'!J43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'FATTENING'!$K$43:$J$43</f>
            </numRef>
          </val>
        </ser>
        <ser>
          <idx val="21"/>
          <order val="21"/>
          <tx>
            <strRef>
              <f>'FATTENING'!K43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'FATTENING'!$L$43:$K$43</f>
            </numRef>
          </val>
        </ser>
        <ser>
          <idx val="22"/>
          <order val="22"/>
          <tx>
            <strRef>
              <f>'FATTENING'!A45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'FATTENING'!$B$45:$A$45</f>
            </numRef>
          </val>
        </ser>
        <ser>
          <idx val="23"/>
          <order val="23"/>
          <tx>
            <strRef>
              <f>'FATTENING'!B45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'FATTENING'!$C$45:$B$45</f>
            </numRef>
          </val>
        </ser>
        <ser>
          <idx val="24"/>
          <order val="24"/>
          <tx>
            <strRef>
              <f>'FATTENING'!C45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'FATTENING'!$D$45:$C$45</f>
            </numRef>
          </val>
        </ser>
        <ser>
          <idx val="25"/>
          <order val="25"/>
          <tx>
            <strRef>
              <f>'FATTENING'!D45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'FATTENING'!$E$45:$D$45</f>
            </numRef>
          </val>
        </ser>
        <ser>
          <idx val="26"/>
          <order val="26"/>
          <tx>
            <strRef>
              <f>'FATTENING'!E45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'FATTENING'!$F$45:$E$45</f>
            </numRef>
          </val>
        </ser>
        <ser>
          <idx val="27"/>
          <order val="27"/>
          <tx>
            <strRef>
              <f>'FATTENING'!F45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'FATTENING'!$G$45:$F$45</f>
            </numRef>
          </val>
        </ser>
        <ser>
          <idx val="28"/>
          <order val="28"/>
          <tx>
            <strRef>
              <f>'FATTENING'!G45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'FATTENING'!$H$45:$G$45</f>
            </numRef>
          </val>
        </ser>
        <ser>
          <idx val="29"/>
          <order val="29"/>
          <tx>
            <strRef>
              <f>'FATTENING'!H45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'FATTENING'!$I$45:$H$45</f>
            </numRef>
          </val>
        </ser>
        <ser>
          <idx val="30"/>
          <order val="30"/>
          <tx>
            <strRef>
              <f>'FATTENING'!I45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'FATTENING'!$J$45:$I$45</f>
            </numRef>
          </val>
        </ser>
        <ser>
          <idx val="31"/>
          <order val="31"/>
          <tx>
            <strRef>
              <f>'FATTENING'!J45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'FATTENING'!$K$45:$J$45</f>
            </numRef>
          </val>
        </ser>
        <ser>
          <idx val="32"/>
          <order val="32"/>
          <tx>
            <strRef>
              <f>'FATTENING'!K45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'FATTENING'!$L$45:$K$45</f>
            </numRef>
          </val>
        </ser>
        <ser>
          <idx val="33"/>
          <order val="33"/>
          <tx>
            <strRef>
              <f>'FATTENING'!A46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'FATTENING'!$B$46:$A$46</f>
            </numRef>
          </val>
        </ser>
        <ser>
          <idx val="34"/>
          <order val="34"/>
          <tx>
            <strRef>
              <f>'FATTENING'!B46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'FATTENING'!$C$46:$B$46</f>
            </numRef>
          </val>
        </ser>
        <ser>
          <idx val="35"/>
          <order val="35"/>
          <tx>
            <strRef>
              <f>'FATTENING'!C46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'FATTENING'!$D$46:$C$46</f>
            </numRef>
          </val>
        </ser>
        <ser>
          <idx val="36"/>
          <order val="36"/>
          <tx>
            <strRef>
              <f>'FATTENING'!D46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'FATTENING'!$E$46:$D$46</f>
            </numRef>
          </val>
        </ser>
        <ser>
          <idx val="37"/>
          <order val="37"/>
          <tx>
            <strRef>
              <f>'FATTENING'!E46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'FATTENING'!$F$46:$E$46</f>
            </numRef>
          </val>
        </ser>
        <ser>
          <idx val="38"/>
          <order val="38"/>
          <tx>
            <strRef>
              <f>'FATTENING'!F46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'FATTENING'!$G$46:$F$46</f>
            </numRef>
          </val>
        </ser>
        <ser>
          <idx val="39"/>
          <order val="39"/>
          <tx>
            <strRef>
              <f>'FATTENING'!G46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'FATTENING'!$H$46:$G$46</f>
            </numRef>
          </val>
        </ser>
        <ser>
          <idx val="40"/>
          <order val="40"/>
          <tx>
            <strRef>
              <f>'FATTENING'!H46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'FATTENING'!$I$46:$H$46</f>
            </numRef>
          </val>
        </ser>
        <ser>
          <idx val="41"/>
          <order val="41"/>
          <tx>
            <strRef>
              <f>'FATTENING'!I46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'FATTENING'!$J$46:$I$46</f>
            </numRef>
          </val>
        </ser>
        <ser>
          <idx val="42"/>
          <order val="42"/>
          <tx>
            <strRef>
              <f>'FATTENING'!J46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'FATTENING'!$K$46:$J$46</f>
            </numRef>
          </val>
        </ser>
        <ser>
          <idx val="43"/>
          <order val="43"/>
          <tx>
            <strRef>
              <f>'FATTENING'!K46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'FATTENING'!$B$41:$K$41</f>
            </numRef>
          </cat>
          <val>
            <numRef>
              <f>'FATTENING'!$L$46:$K$46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Bags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Debt Balance / Debt Service / DSRA</a:t>
            </a:r>
          </a:p>
        </rich>
      </tx>
    </title>
    <plotArea>
      <lineChart>
        <grouping val="standard"/>
        <ser>
          <idx val="0"/>
          <order val="0"/>
          <tx>
            <strRef>
              <f>'FUNDING_DEBT'!A91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'FUNDING_DEBT'!$B$91:$A$91</f>
            </numRef>
          </val>
        </ser>
        <ser>
          <idx val="1"/>
          <order val="1"/>
          <tx>
            <strRef>
              <f>'FUNDING_DEBT'!B91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'FUNDING_DEBT'!$C$91:$B$91</f>
            </numRef>
          </val>
        </ser>
        <ser>
          <idx val="2"/>
          <order val="2"/>
          <tx>
            <strRef>
              <f>'FUNDING_DEBT'!C91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'FUNDING_DEBT'!$D$91:$C$91</f>
            </numRef>
          </val>
        </ser>
        <ser>
          <idx val="3"/>
          <order val="3"/>
          <tx>
            <strRef>
              <f>'FUNDING_DEBT'!D91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'FUNDING_DEBT'!$E$91:$D$91</f>
            </numRef>
          </val>
        </ser>
        <ser>
          <idx val="4"/>
          <order val="4"/>
          <tx>
            <strRef>
              <f>'FUNDING_DEBT'!E91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'FUNDING_DEBT'!$F$91:$E$91</f>
            </numRef>
          </val>
        </ser>
        <ser>
          <idx val="5"/>
          <order val="5"/>
          <tx>
            <strRef>
              <f>'FUNDING_DEBT'!F91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'FUNDING_DEBT'!$G$91:$F$91</f>
            </numRef>
          </val>
        </ser>
        <ser>
          <idx val="6"/>
          <order val="6"/>
          <tx>
            <strRef>
              <f>'FUNDING_DEBT'!G91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'FUNDING_DEBT'!$H$91:$G$91</f>
            </numRef>
          </val>
        </ser>
        <ser>
          <idx val="7"/>
          <order val="7"/>
          <tx>
            <strRef>
              <f>'FUNDING_DEBT'!H91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'FUNDING_DEBT'!$I$91:$H$91</f>
            </numRef>
          </val>
        </ser>
        <ser>
          <idx val="8"/>
          <order val="8"/>
          <tx>
            <strRef>
              <f>'FUNDING_DEBT'!I91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'FUNDING_DEBT'!$J$91:$I$91</f>
            </numRef>
          </val>
        </ser>
        <ser>
          <idx val="9"/>
          <order val="9"/>
          <tx>
            <strRef>
              <f>'FUNDING_DEBT'!J91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'FUNDING_DEBT'!$K$91:$J$91</f>
            </numRef>
          </val>
        </ser>
        <ser>
          <idx val="10"/>
          <order val="10"/>
          <tx>
            <strRef>
              <f>'FUNDING_DEBT'!K91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'FUNDING_DEBT'!$L$91:$K$91</f>
            </numRef>
          </val>
        </ser>
        <ser>
          <idx val="11"/>
          <order val="11"/>
          <tx>
            <strRef>
              <f>'FUNDING_DEBT'!A92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'FUNDING_DEBT'!$B$92:$A$92</f>
            </numRef>
          </val>
        </ser>
        <ser>
          <idx val="12"/>
          <order val="12"/>
          <tx>
            <strRef>
              <f>'FUNDING_DEBT'!B92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'FUNDING_DEBT'!$C$92:$B$92</f>
            </numRef>
          </val>
        </ser>
        <ser>
          <idx val="13"/>
          <order val="13"/>
          <tx>
            <strRef>
              <f>'FUNDING_DEBT'!C92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'FUNDING_DEBT'!$D$92:$C$92</f>
            </numRef>
          </val>
        </ser>
        <ser>
          <idx val="14"/>
          <order val="14"/>
          <tx>
            <strRef>
              <f>'FUNDING_DEBT'!D92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'FUNDING_DEBT'!$E$92:$D$92</f>
            </numRef>
          </val>
        </ser>
        <ser>
          <idx val="15"/>
          <order val="15"/>
          <tx>
            <strRef>
              <f>'FUNDING_DEBT'!E92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'FUNDING_DEBT'!$F$92:$E$92</f>
            </numRef>
          </val>
        </ser>
        <ser>
          <idx val="16"/>
          <order val="16"/>
          <tx>
            <strRef>
              <f>'FUNDING_DEBT'!F92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'FUNDING_DEBT'!$G$92:$F$92</f>
            </numRef>
          </val>
        </ser>
        <ser>
          <idx val="17"/>
          <order val="17"/>
          <tx>
            <strRef>
              <f>'FUNDING_DEBT'!G92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'FUNDING_DEBT'!$H$92:$G$92</f>
            </numRef>
          </val>
        </ser>
        <ser>
          <idx val="18"/>
          <order val="18"/>
          <tx>
            <strRef>
              <f>'FUNDING_DEBT'!H92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'FUNDING_DEBT'!$I$92:$H$92</f>
            </numRef>
          </val>
        </ser>
        <ser>
          <idx val="19"/>
          <order val="19"/>
          <tx>
            <strRef>
              <f>'FUNDING_DEBT'!I92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'FUNDING_DEBT'!$J$92:$I$92</f>
            </numRef>
          </val>
        </ser>
        <ser>
          <idx val="20"/>
          <order val="20"/>
          <tx>
            <strRef>
              <f>'FUNDING_DEBT'!J92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'FUNDING_DEBT'!$K$92:$J$92</f>
            </numRef>
          </val>
        </ser>
        <ser>
          <idx val="21"/>
          <order val="21"/>
          <tx>
            <strRef>
              <f>'FUNDING_DEBT'!K92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'FUNDING_DEBT'!$L$92:$K$92</f>
            </numRef>
          </val>
        </ser>
        <ser>
          <idx val="22"/>
          <order val="22"/>
          <tx>
            <strRef>
              <f>'FUNDING_DEBT'!A93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'FUNDING_DEBT'!$B$93:$A$93</f>
            </numRef>
          </val>
        </ser>
        <ser>
          <idx val="23"/>
          <order val="23"/>
          <tx>
            <strRef>
              <f>'FUNDING_DEBT'!B93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'FUNDING_DEBT'!$C$93:$B$93</f>
            </numRef>
          </val>
        </ser>
        <ser>
          <idx val="24"/>
          <order val="24"/>
          <tx>
            <strRef>
              <f>'FUNDING_DEBT'!C93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'FUNDING_DEBT'!$D$93:$C$93</f>
            </numRef>
          </val>
        </ser>
        <ser>
          <idx val="25"/>
          <order val="25"/>
          <tx>
            <strRef>
              <f>'FUNDING_DEBT'!D93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'FUNDING_DEBT'!$E$93:$D$93</f>
            </numRef>
          </val>
        </ser>
        <ser>
          <idx val="26"/>
          <order val="26"/>
          <tx>
            <strRef>
              <f>'FUNDING_DEBT'!E93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'FUNDING_DEBT'!$F$93:$E$93</f>
            </numRef>
          </val>
        </ser>
        <ser>
          <idx val="27"/>
          <order val="27"/>
          <tx>
            <strRef>
              <f>'FUNDING_DEBT'!F93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'FUNDING_DEBT'!$G$93:$F$93</f>
            </numRef>
          </val>
        </ser>
        <ser>
          <idx val="28"/>
          <order val="28"/>
          <tx>
            <strRef>
              <f>'FUNDING_DEBT'!G93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'FUNDING_DEBT'!$H$93:$G$93</f>
            </numRef>
          </val>
        </ser>
        <ser>
          <idx val="29"/>
          <order val="29"/>
          <tx>
            <strRef>
              <f>'FUNDING_DEBT'!H93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'FUNDING_DEBT'!$I$93:$H$93</f>
            </numRef>
          </val>
        </ser>
        <ser>
          <idx val="30"/>
          <order val="30"/>
          <tx>
            <strRef>
              <f>'FUNDING_DEBT'!I93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'FUNDING_DEBT'!$J$93:$I$93</f>
            </numRef>
          </val>
        </ser>
        <ser>
          <idx val="31"/>
          <order val="31"/>
          <tx>
            <strRef>
              <f>'FUNDING_DEBT'!J93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'FUNDING_DEBT'!$K$93:$J$93</f>
            </numRef>
          </val>
        </ser>
        <ser>
          <idx val="32"/>
          <order val="32"/>
          <tx>
            <strRef>
              <f>'FUNDING_DEBT'!K93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'FUNDING_DEBT'!$B$90:$K$90</f>
            </numRef>
          </cat>
          <val>
            <numRef>
              <f>'FUNDING_DEBT'!$L$93:$K$93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9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rPr lang="en-CA"/>
              <a:t>Moratorium Interest Coverage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MORATORIUM_COVERAGE!$B$3:$Y$3</f>
              <strCache>
                <ptCount val="24"/>
                <pt idx="0">
                  <v>Month 1</v>
                </pt>
                <pt idx="1">
                  <v>Month 2</v>
                </pt>
                <pt idx="2">
                  <v>Month 3</v>
                </pt>
                <pt idx="3">
                  <v>Month 4</v>
                </pt>
                <pt idx="4">
                  <v>Month 5</v>
                </pt>
                <pt idx="5">
                  <v>Month 6</v>
                </pt>
                <pt idx="6">
                  <v>Month 7</v>
                </pt>
                <pt idx="7">
                  <v>Month 8</v>
                </pt>
                <pt idx="8">
                  <v>Month 9</v>
                </pt>
                <pt idx="9">
                  <v>Month 10</v>
                </pt>
                <pt idx="10">
                  <v>Month 11</v>
                </pt>
                <pt idx="11">
                  <v>Month 12</v>
                </pt>
                <pt idx="12">
                  <v>Month 13</v>
                </pt>
                <pt idx="13">
                  <v>Month 14</v>
                </pt>
                <pt idx="14">
                  <v>Month 15</v>
                </pt>
                <pt idx="15">
                  <v>Month 16</v>
                </pt>
                <pt idx="16">
                  <v>Month 17</v>
                </pt>
                <pt idx="17">
                  <v>Month 18</v>
                </pt>
                <pt idx="18">
                  <v>Month 19</v>
                </pt>
                <pt idx="19">
                  <v>Month 20</v>
                </pt>
                <pt idx="20">
                  <v>Month 21</v>
                </pt>
                <pt idx="21">
                  <v>Month 22</v>
                </pt>
                <pt idx="22">
                  <v>Month 23</v>
                </pt>
                <pt idx="23">
                  <v>Month 24</v>
                </pt>
              </strCache>
            </strRef>
          </cat>
          <val>
            <numRef>
              <f>MORATORIUM_COVERAGE!$B$10:$Y$10</f>
              <numCache>
                <formatCode>#,##0;[Red]\(#,##0\);\-</formatCode>
                <ptCount val="24"/>
                <pt idx="0">
                  <v>29.37456974397267</v>
                </pt>
                <pt idx="1">
                  <v>29.37456974397267</v>
                </pt>
                <pt idx="2">
                  <v>-102.6108848014819</v>
                </pt>
                <pt idx="3">
                  <v>13.75275156215448</v>
                </pt>
                <pt idx="4">
                  <v>13.75275156215448</v>
                </pt>
                <pt idx="5">
                  <v>13.75275156215448</v>
                </pt>
                <pt idx="6">
                  <v>441.7531006530636</v>
                </pt>
                <pt idx="7">
                  <v>13.75275156215448</v>
                </pt>
                <pt idx="8">
                  <v>13.75275156215448</v>
                </pt>
                <pt idx="9">
                  <v>13.75275156215448</v>
                </pt>
                <pt idx="10">
                  <v>441.7531006530636</v>
                </pt>
                <pt idx="11">
                  <v>13.75275156215448</v>
                </pt>
                <pt idx="12">
                  <v>12.71151988298947</v>
                </pt>
                <pt idx="13">
                  <v>12.71151988298947</v>
                </pt>
                <pt idx="14">
                  <v>439.1783400108737</v>
                </pt>
                <pt idx="15">
                  <v>12.71151988298947</v>
                </pt>
                <pt idx="16">
                  <v>12.71151988298947</v>
                </pt>
                <pt idx="17">
                  <v>12.71151988298947</v>
                </pt>
                <pt idx="18">
                  <v>281.0297815454861</v>
                </pt>
                <pt idx="19">
                  <v>12.71151988298947</v>
                </pt>
                <pt idx="20">
                  <v>12.71151988298947</v>
                </pt>
                <pt idx="21">
                  <v>12.71151988298947</v>
                </pt>
                <pt idx="22">
                  <v>281.0297815454861</v>
                </pt>
                <pt idx="23">
                  <v>12.71151988298947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CA"/>
                  <a:t>Period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rPr lang="en-CA"/>
                  <a:t>NGN / ratio</a:t>
                </a:r>
              </a:p>
            </rich>
          </tx>
          <overlay val="1"/>
        </title>
        <numFmt formatCode="#,##0;[Red]\(#,##0\);\-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CFADS Waterfall Components</a:t>
            </a:r>
          </a:p>
        </rich>
      </tx>
    </title>
    <plotArea>
      <lineChart>
        <grouping val="standard"/>
        <ser>
          <idx val="0"/>
          <order val="0"/>
          <tx>
            <strRef>
              <f>'CASHFLOW'!A147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'CASHFLOW'!$B$147:$A$147</f>
            </numRef>
          </val>
        </ser>
        <ser>
          <idx val="1"/>
          <order val="1"/>
          <tx>
            <strRef>
              <f>'CASHFLOW'!B147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'CASHFLOW'!$C$147:$B$147</f>
            </numRef>
          </val>
        </ser>
        <ser>
          <idx val="2"/>
          <order val="2"/>
          <tx>
            <strRef>
              <f>'CASHFLOW'!C147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'CASHFLOW'!$D$147:$C$147</f>
            </numRef>
          </val>
        </ser>
        <ser>
          <idx val="3"/>
          <order val="3"/>
          <tx>
            <strRef>
              <f>'CASHFLOW'!D147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'CASHFLOW'!$E$147:$D$147</f>
            </numRef>
          </val>
        </ser>
        <ser>
          <idx val="4"/>
          <order val="4"/>
          <tx>
            <strRef>
              <f>'CASHFLOW'!E147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'CASHFLOW'!$F$147:$E$147</f>
            </numRef>
          </val>
        </ser>
        <ser>
          <idx val="5"/>
          <order val="5"/>
          <tx>
            <strRef>
              <f>'CASHFLOW'!F147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'CASHFLOW'!$G$147:$F$147</f>
            </numRef>
          </val>
        </ser>
        <ser>
          <idx val="6"/>
          <order val="6"/>
          <tx>
            <strRef>
              <f>'CASHFLOW'!G147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'CASHFLOW'!$H$147:$G$147</f>
            </numRef>
          </val>
        </ser>
        <ser>
          <idx val="7"/>
          <order val="7"/>
          <tx>
            <strRef>
              <f>'CASHFLOW'!H147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'CASHFLOW'!$I$147:$H$147</f>
            </numRef>
          </val>
        </ser>
        <ser>
          <idx val="8"/>
          <order val="8"/>
          <tx>
            <strRef>
              <f>'CASHFLOW'!I147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'CASHFLOW'!$J$147:$I$147</f>
            </numRef>
          </val>
        </ser>
        <ser>
          <idx val="9"/>
          <order val="9"/>
          <tx>
            <strRef>
              <f>'CASHFLOW'!J147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'CASHFLOW'!$K$147:$J$147</f>
            </numRef>
          </val>
        </ser>
        <ser>
          <idx val="10"/>
          <order val="10"/>
          <tx>
            <strRef>
              <f>'CASHFLOW'!K147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'CASHFLOW'!$L$147:$K$147</f>
            </numRef>
          </val>
        </ser>
        <ser>
          <idx val="11"/>
          <order val="11"/>
          <tx>
            <strRef>
              <f>'CASHFLOW'!A148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'CASHFLOW'!$B$148:$A$148</f>
            </numRef>
          </val>
        </ser>
        <ser>
          <idx val="12"/>
          <order val="12"/>
          <tx>
            <strRef>
              <f>'CASHFLOW'!B148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'CASHFLOW'!$C$148:$B$148</f>
            </numRef>
          </val>
        </ser>
        <ser>
          <idx val="13"/>
          <order val="13"/>
          <tx>
            <strRef>
              <f>'CASHFLOW'!C148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'CASHFLOW'!$D$148:$C$148</f>
            </numRef>
          </val>
        </ser>
        <ser>
          <idx val="14"/>
          <order val="14"/>
          <tx>
            <strRef>
              <f>'CASHFLOW'!D148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'CASHFLOW'!$E$148:$D$148</f>
            </numRef>
          </val>
        </ser>
        <ser>
          <idx val="15"/>
          <order val="15"/>
          <tx>
            <strRef>
              <f>'CASHFLOW'!E148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'CASHFLOW'!$F$148:$E$148</f>
            </numRef>
          </val>
        </ser>
        <ser>
          <idx val="16"/>
          <order val="16"/>
          <tx>
            <strRef>
              <f>'CASHFLOW'!F148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'CASHFLOW'!$G$148:$F$148</f>
            </numRef>
          </val>
        </ser>
        <ser>
          <idx val="17"/>
          <order val="17"/>
          <tx>
            <strRef>
              <f>'CASHFLOW'!G148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'CASHFLOW'!$H$148:$G$148</f>
            </numRef>
          </val>
        </ser>
        <ser>
          <idx val="18"/>
          <order val="18"/>
          <tx>
            <strRef>
              <f>'CASHFLOW'!H148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'CASHFLOW'!$I$148:$H$148</f>
            </numRef>
          </val>
        </ser>
        <ser>
          <idx val="19"/>
          <order val="19"/>
          <tx>
            <strRef>
              <f>'CASHFLOW'!I148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'CASHFLOW'!$J$148:$I$148</f>
            </numRef>
          </val>
        </ser>
        <ser>
          <idx val="20"/>
          <order val="20"/>
          <tx>
            <strRef>
              <f>'CASHFLOW'!J148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'CASHFLOW'!$K$148:$J$148</f>
            </numRef>
          </val>
        </ser>
        <ser>
          <idx val="21"/>
          <order val="21"/>
          <tx>
            <strRef>
              <f>'CASHFLOW'!K148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'CASHFLOW'!$L$148:$K$148</f>
            </numRef>
          </val>
        </ser>
        <ser>
          <idx val="22"/>
          <order val="22"/>
          <tx>
            <strRef>
              <f>'CASHFLOW'!A149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'CASHFLOW'!$B$149:$A$149</f>
            </numRef>
          </val>
        </ser>
        <ser>
          <idx val="23"/>
          <order val="23"/>
          <tx>
            <strRef>
              <f>'CASHFLOW'!B149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'CASHFLOW'!$C$149:$B$149</f>
            </numRef>
          </val>
        </ser>
        <ser>
          <idx val="24"/>
          <order val="24"/>
          <tx>
            <strRef>
              <f>'CASHFLOW'!C149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'CASHFLOW'!$D$149:$C$149</f>
            </numRef>
          </val>
        </ser>
        <ser>
          <idx val="25"/>
          <order val="25"/>
          <tx>
            <strRef>
              <f>'CASHFLOW'!D149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'CASHFLOW'!$E$149:$D$149</f>
            </numRef>
          </val>
        </ser>
        <ser>
          <idx val="26"/>
          <order val="26"/>
          <tx>
            <strRef>
              <f>'CASHFLOW'!E149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'CASHFLOW'!$F$149:$E$149</f>
            </numRef>
          </val>
        </ser>
        <ser>
          <idx val="27"/>
          <order val="27"/>
          <tx>
            <strRef>
              <f>'CASHFLOW'!F149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'CASHFLOW'!$G$149:$F$149</f>
            </numRef>
          </val>
        </ser>
        <ser>
          <idx val="28"/>
          <order val="28"/>
          <tx>
            <strRef>
              <f>'CASHFLOW'!G149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'CASHFLOW'!$H$149:$G$149</f>
            </numRef>
          </val>
        </ser>
        <ser>
          <idx val="29"/>
          <order val="29"/>
          <tx>
            <strRef>
              <f>'CASHFLOW'!H149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'CASHFLOW'!$I$149:$H$149</f>
            </numRef>
          </val>
        </ser>
        <ser>
          <idx val="30"/>
          <order val="30"/>
          <tx>
            <strRef>
              <f>'CASHFLOW'!I149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'CASHFLOW'!$J$149:$I$149</f>
            </numRef>
          </val>
        </ser>
        <ser>
          <idx val="31"/>
          <order val="31"/>
          <tx>
            <strRef>
              <f>'CASHFLOW'!J149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'CASHFLOW'!$K$149:$J$149</f>
            </numRef>
          </val>
        </ser>
        <ser>
          <idx val="32"/>
          <order val="32"/>
          <tx>
            <strRef>
              <f>'CASHFLOW'!K149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'CASHFLOW'!$L$149:$K$149</f>
            </numRef>
          </val>
        </ser>
        <ser>
          <idx val="33"/>
          <order val="33"/>
          <tx>
            <strRef>
              <f>'CASHFLOW'!A150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'CASHFLOW'!$B$150:$A$150</f>
            </numRef>
          </val>
        </ser>
        <ser>
          <idx val="34"/>
          <order val="34"/>
          <tx>
            <strRef>
              <f>'CASHFLOW'!B150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'CASHFLOW'!$C$150:$B$150</f>
            </numRef>
          </val>
        </ser>
        <ser>
          <idx val="35"/>
          <order val="35"/>
          <tx>
            <strRef>
              <f>'CASHFLOW'!C150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'CASHFLOW'!$D$150:$C$150</f>
            </numRef>
          </val>
        </ser>
        <ser>
          <idx val="36"/>
          <order val="36"/>
          <tx>
            <strRef>
              <f>'CASHFLOW'!D150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'CASHFLOW'!$E$150:$D$150</f>
            </numRef>
          </val>
        </ser>
        <ser>
          <idx val="37"/>
          <order val="37"/>
          <tx>
            <strRef>
              <f>'CASHFLOW'!E150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'CASHFLOW'!$F$150:$E$150</f>
            </numRef>
          </val>
        </ser>
        <ser>
          <idx val="38"/>
          <order val="38"/>
          <tx>
            <strRef>
              <f>'CASHFLOW'!F150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'CASHFLOW'!$G$150:$F$150</f>
            </numRef>
          </val>
        </ser>
        <ser>
          <idx val="39"/>
          <order val="39"/>
          <tx>
            <strRef>
              <f>'CASHFLOW'!G150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'CASHFLOW'!$H$150:$G$150</f>
            </numRef>
          </val>
        </ser>
        <ser>
          <idx val="40"/>
          <order val="40"/>
          <tx>
            <strRef>
              <f>'CASHFLOW'!H150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'CASHFLOW'!$I$150:$H$150</f>
            </numRef>
          </val>
        </ser>
        <ser>
          <idx val="41"/>
          <order val="41"/>
          <tx>
            <strRef>
              <f>'CASHFLOW'!I150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'CASHFLOW'!$J$150:$I$150</f>
            </numRef>
          </val>
        </ser>
        <ser>
          <idx val="42"/>
          <order val="42"/>
          <tx>
            <strRef>
              <f>'CASHFLOW'!J150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'CASHFLOW'!$K$150:$J$150</f>
            </numRef>
          </val>
        </ser>
        <ser>
          <idx val="43"/>
          <order val="43"/>
          <tx>
            <strRef>
              <f>'CASHFLOW'!K150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'CASHFLOW'!$L$150:$K$150</f>
            </numRef>
          </val>
        </ser>
        <ser>
          <idx val="44"/>
          <order val="44"/>
          <tx>
            <strRef>
              <f>'CASHFLOW'!A151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'CASHFLOW'!$B$151:$A$151</f>
            </numRef>
          </val>
        </ser>
        <ser>
          <idx val="45"/>
          <order val="45"/>
          <tx>
            <strRef>
              <f>'CASHFLOW'!B151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'CASHFLOW'!$C$151:$B$151</f>
            </numRef>
          </val>
        </ser>
        <ser>
          <idx val="46"/>
          <order val="46"/>
          <tx>
            <strRef>
              <f>'CASHFLOW'!C151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'CASHFLOW'!$D$151:$C$151</f>
            </numRef>
          </val>
        </ser>
        <ser>
          <idx val="47"/>
          <order val="47"/>
          <tx>
            <strRef>
              <f>'CASHFLOW'!D151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'CASHFLOW'!$E$151:$D$151</f>
            </numRef>
          </val>
        </ser>
        <ser>
          <idx val="48"/>
          <order val="48"/>
          <tx>
            <strRef>
              <f>'CASHFLOW'!E151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'CASHFLOW'!$F$151:$E$151</f>
            </numRef>
          </val>
        </ser>
        <ser>
          <idx val="49"/>
          <order val="49"/>
          <tx>
            <strRef>
              <f>'CASHFLOW'!F151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'CASHFLOW'!$G$151:$F$151</f>
            </numRef>
          </val>
        </ser>
        <ser>
          <idx val="50"/>
          <order val="50"/>
          <tx>
            <strRef>
              <f>'CASHFLOW'!G151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'CASHFLOW'!$H$151:$G$151</f>
            </numRef>
          </val>
        </ser>
        <ser>
          <idx val="51"/>
          <order val="51"/>
          <tx>
            <strRef>
              <f>'CASHFLOW'!H151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'CASHFLOW'!$I$151:$H$151</f>
            </numRef>
          </val>
        </ser>
        <ser>
          <idx val="52"/>
          <order val="52"/>
          <tx>
            <strRef>
              <f>'CASHFLOW'!I151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'CASHFLOW'!$J$151:$I$151</f>
            </numRef>
          </val>
        </ser>
        <ser>
          <idx val="53"/>
          <order val="53"/>
          <tx>
            <strRef>
              <f>'CASHFLOW'!J151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'CASHFLOW'!$K$151:$J$151</f>
            </numRef>
          </val>
        </ser>
        <ser>
          <idx val="54"/>
          <order val="54"/>
          <tx>
            <strRef>
              <f>'CASHFLOW'!K151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'CASHFLOW'!$L$151:$K$151</f>
            </numRef>
          </val>
        </ser>
        <ser>
          <idx val="55"/>
          <order val="55"/>
          <tx>
            <strRef>
              <f>'CASHFLOW'!A152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'CASHFLOW'!$B$152:$A$152</f>
            </numRef>
          </val>
        </ser>
        <ser>
          <idx val="56"/>
          <order val="56"/>
          <tx>
            <strRef>
              <f>'CASHFLOW'!B152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'CASHFLOW'!$C$152:$B$152</f>
            </numRef>
          </val>
        </ser>
        <ser>
          <idx val="57"/>
          <order val="57"/>
          <tx>
            <strRef>
              <f>'CASHFLOW'!C152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'CASHFLOW'!$D$152:$C$152</f>
            </numRef>
          </val>
        </ser>
        <ser>
          <idx val="58"/>
          <order val="58"/>
          <tx>
            <strRef>
              <f>'CASHFLOW'!D152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'CASHFLOW'!$E$152:$D$152</f>
            </numRef>
          </val>
        </ser>
        <ser>
          <idx val="59"/>
          <order val="59"/>
          <tx>
            <strRef>
              <f>'CASHFLOW'!E152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'CASHFLOW'!$F$152:$E$152</f>
            </numRef>
          </val>
        </ser>
        <ser>
          <idx val="60"/>
          <order val="60"/>
          <tx>
            <strRef>
              <f>'CASHFLOW'!F152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'CASHFLOW'!$G$152:$F$152</f>
            </numRef>
          </val>
        </ser>
        <ser>
          <idx val="61"/>
          <order val="61"/>
          <tx>
            <strRef>
              <f>'CASHFLOW'!G152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'CASHFLOW'!$H$152:$G$152</f>
            </numRef>
          </val>
        </ser>
        <ser>
          <idx val="62"/>
          <order val="62"/>
          <tx>
            <strRef>
              <f>'CASHFLOW'!H152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'CASHFLOW'!$I$152:$H$152</f>
            </numRef>
          </val>
        </ser>
        <ser>
          <idx val="63"/>
          <order val="63"/>
          <tx>
            <strRef>
              <f>'CASHFLOW'!I152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'CASHFLOW'!$J$152:$I$152</f>
            </numRef>
          </val>
        </ser>
        <ser>
          <idx val="64"/>
          <order val="64"/>
          <tx>
            <strRef>
              <f>'CASHFLOW'!J152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'CASHFLOW'!$K$152:$J$152</f>
            </numRef>
          </val>
        </ser>
        <ser>
          <idx val="65"/>
          <order val="65"/>
          <tx>
            <strRef>
              <f>'CASHFLOW'!K152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'CASHFLOW'!$L$152:$K$152</f>
            </numRef>
          </val>
        </ser>
        <ser>
          <idx val="66"/>
          <order val="66"/>
          <tx>
            <strRef>
              <f>'CASHFLOW'!A153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'CASHFLOW'!$B$153:$A$153</f>
            </numRef>
          </val>
        </ser>
        <ser>
          <idx val="67"/>
          <order val="67"/>
          <tx>
            <strRef>
              <f>'CASHFLOW'!B153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'CASHFLOW'!$C$153:$B$153</f>
            </numRef>
          </val>
        </ser>
        <ser>
          <idx val="68"/>
          <order val="68"/>
          <tx>
            <strRef>
              <f>'CASHFLOW'!C153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'CASHFLOW'!$D$153:$C$153</f>
            </numRef>
          </val>
        </ser>
        <ser>
          <idx val="69"/>
          <order val="69"/>
          <tx>
            <strRef>
              <f>'CASHFLOW'!D153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'CASHFLOW'!$E$153:$D$153</f>
            </numRef>
          </val>
        </ser>
        <ser>
          <idx val="70"/>
          <order val="70"/>
          <tx>
            <strRef>
              <f>'CASHFLOW'!E153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'CASHFLOW'!$F$153:$E$153</f>
            </numRef>
          </val>
        </ser>
        <ser>
          <idx val="71"/>
          <order val="71"/>
          <tx>
            <strRef>
              <f>'CASHFLOW'!F153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'CASHFLOW'!$G$153:$F$153</f>
            </numRef>
          </val>
        </ser>
        <ser>
          <idx val="72"/>
          <order val="72"/>
          <tx>
            <strRef>
              <f>'CASHFLOW'!G153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'CASHFLOW'!$H$153:$G$153</f>
            </numRef>
          </val>
        </ser>
        <ser>
          <idx val="73"/>
          <order val="73"/>
          <tx>
            <strRef>
              <f>'CASHFLOW'!H153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'CASHFLOW'!$I$153:$H$153</f>
            </numRef>
          </val>
        </ser>
        <ser>
          <idx val="74"/>
          <order val="74"/>
          <tx>
            <strRef>
              <f>'CASHFLOW'!I153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'CASHFLOW'!$J$153:$I$153</f>
            </numRef>
          </val>
        </ser>
        <ser>
          <idx val="75"/>
          <order val="75"/>
          <tx>
            <strRef>
              <f>'CASHFLOW'!J153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'CASHFLOW'!$K$153:$J$153</f>
            </numRef>
          </val>
        </ser>
        <ser>
          <idx val="76"/>
          <order val="76"/>
          <tx>
            <strRef>
              <f>'CASHFLOW'!K153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'CASHFLOW'!$L$153:$K$153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'CASHFLOW'!A44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'CASHFLOW'!$B$44:$A$44</f>
            </numRef>
          </val>
        </ser>
        <ser>
          <idx val="1"/>
          <order val="1"/>
          <tx>
            <strRef>
              <f>'CASHFLOW'!B44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'CASHFLOW'!$C$44:$B$44</f>
            </numRef>
          </val>
        </ser>
        <ser>
          <idx val="2"/>
          <order val="2"/>
          <tx>
            <strRef>
              <f>'CASHFLOW'!C44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'CASHFLOW'!$D$44:$C$44</f>
            </numRef>
          </val>
        </ser>
        <ser>
          <idx val="3"/>
          <order val="3"/>
          <tx>
            <strRef>
              <f>'CASHFLOW'!D44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'CASHFLOW'!$E$44:$D$44</f>
            </numRef>
          </val>
        </ser>
        <ser>
          <idx val="4"/>
          <order val="4"/>
          <tx>
            <strRef>
              <f>'CASHFLOW'!E44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'CASHFLOW'!$F$44:$E$44</f>
            </numRef>
          </val>
        </ser>
        <ser>
          <idx val="5"/>
          <order val="5"/>
          <tx>
            <strRef>
              <f>'CASHFLOW'!F44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'CASHFLOW'!$G$44:$F$44</f>
            </numRef>
          </val>
        </ser>
        <ser>
          <idx val="6"/>
          <order val="6"/>
          <tx>
            <strRef>
              <f>'CASHFLOW'!G44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'CASHFLOW'!$H$44:$G$44</f>
            </numRef>
          </val>
        </ser>
        <ser>
          <idx val="7"/>
          <order val="7"/>
          <tx>
            <strRef>
              <f>'CASHFLOW'!H44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'CASHFLOW'!$I$44:$H$44</f>
            </numRef>
          </val>
        </ser>
        <ser>
          <idx val="8"/>
          <order val="8"/>
          <tx>
            <strRef>
              <f>'CASHFLOW'!I44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'CASHFLOW'!$J$44:$I$44</f>
            </numRef>
          </val>
        </ser>
        <ser>
          <idx val="9"/>
          <order val="9"/>
          <tx>
            <strRef>
              <f>'CASHFLOW'!J44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'CASHFLOW'!$K$44:$J$44</f>
            </numRef>
          </val>
        </ser>
        <ser>
          <idx val="10"/>
          <order val="10"/>
          <tx>
            <strRef>
              <f>'CASHFLOW'!K44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'CASHFLOW'!$B$33:$K$33</f>
            </numRef>
          </cat>
          <val>
            <numRef>
              <f>'CASHFLOW'!$L$44:$K$44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Post Debt and Net Cash Flow</a:t>
            </a:r>
          </a:p>
        </rich>
      </tx>
    </title>
    <plotArea>
      <lineChart>
        <grouping val="standard"/>
        <ser>
          <idx val="0"/>
          <order val="0"/>
          <tx>
            <strRef>
              <f>'CASHFLOW'!A156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'CASHFLOW'!$B$156:$A$156</f>
            </numRef>
          </val>
        </ser>
        <ser>
          <idx val="1"/>
          <order val="1"/>
          <tx>
            <strRef>
              <f>'CASHFLOW'!B156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'CASHFLOW'!$C$156:$B$156</f>
            </numRef>
          </val>
        </ser>
        <ser>
          <idx val="2"/>
          <order val="2"/>
          <tx>
            <strRef>
              <f>'CASHFLOW'!C156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'CASHFLOW'!$D$156:$C$156</f>
            </numRef>
          </val>
        </ser>
        <ser>
          <idx val="3"/>
          <order val="3"/>
          <tx>
            <strRef>
              <f>'CASHFLOW'!D156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'CASHFLOW'!$E$156:$D$156</f>
            </numRef>
          </val>
        </ser>
        <ser>
          <idx val="4"/>
          <order val="4"/>
          <tx>
            <strRef>
              <f>'CASHFLOW'!E156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'CASHFLOW'!$F$156:$E$156</f>
            </numRef>
          </val>
        </ser>
        <ser>
          <idx val="5"/>
          <order val="5"/>
          <tx>
            <strRef>
              <f>'CASHFLOW'!F156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'CASHFLOW'!$G$156:$F$156</f>
            </numRef>
          </val>
        </ser>
        <ser>
          <idx val="6"/>
          <order val="6"/>
          <tx>
            <strRef>
              <f>'CASHFLOW'!G156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'CASHFLOW'!$H$156:$G$156</f>
            </numRef>
          </val>
        </ser>
        <ser>
          <idx val="7"/>
          <order val="7"/>
          <tx>
            <strRef>
              <f>'CASHFLOW'!H156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'CASHFLOW'!$I$156:$H$156</f>
            </numRef>
          </val>
        </ser>
        <ser>
          <idx val="8"/>
          <order val="8"/>
          <tx>
            <strRef>
              <f>'CASHFLOW'!I156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'CASHFLOW'!$J$156:$I$156</f>
            </numRef>
          </val>
        </ser>
        <ser>
          <idx val="9"/>
          <order val="9"/>
          <tx>
            <strRef>
              <f>'CASHFLOW'!J156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'CASHFLOW'!$K$156:$J$156</f>
            </numRef>
          </val>
        </ser>
        <ser>
          <idx val="10"/>
          <order val="10"/>
          <tx>
            <strRef>
              <f>'CASHFLOW'!K156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'CASHFLOW'!$L$156:$K$156</f>
            </numRef>
          </val>
        </ser>
        <ser>
          <idx val="11"/>
          <order val="11"/>
          <tx>
            <strRef>
              <f>'CASHFLOW'!A158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'CASHFLOW'!$B$158:$A$158</f>
            </numRef>
          </val>
        </ser>
        <ser>
          <idx val="12"/>
          <order val="12"/>
          <tx>
            <strRef>
              <f>'CASHFLOW'!B158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'CASHFLOW'!$C$158:$B$158</f>
            </numRef>
          </val>
        </ser>
        <ser>
          <idx val="13"/>
          <order val="13"/>
          <tx>
            <strRef>
              <f>'CASHFLOW'!C158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'CASHFLOW'!$D$158:$C$158</f>
            </numRef>
          </val>
        </ser>
        <ser>
          <idx val="14"/>
          <order val="14"/>
          <tx>
            <strRef>
              <f>'CASHFLOW'!D158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'CASHFLOW'!$E$158:$D$158</f>
            </numRef>
          </val>
        </ser>
        <ser>
          <idx val="15"/>
          <order val="15"/>
          <tx>
            <strRef>
              <f>'CASHFLOW'!E158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'CASHFLOW'!$F$158:$E$158</f>
            </numRef>
          </val>
        </ser>
        <ser>
          <idx val="16"/>
          <order val="16"/>
          <tx>
            <strRef>
              <f>'CASHFLOW'!F158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'CASHFLOW'!$G$158:$F$158</f>
            </numRef>
          </val>
        </ser>
        <ser>
          <idx val="17"/>
          <order val="17"/>
          <tx>
            <strRef>
              <f>'CASHFLOW'!G158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'CASHFLOW'!$H$158:$G$158</f>
            </numRef>
          </val>
        </ser>
        <ser>
          <idx val="18"/>
          <order val="18"/>
          <tx>
            <strRef>
              <f>'CASHFLOW'!H158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'CASHFLOW'!$I$158:$H$158</f>
            </numRef>
          </val>
        </ser>
        <ser>
          <idx val="19"/>
          <order val="19"/>
          <tx>
            <strRef>
              <f>'CASHFLOW'!I158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'CASHFLOW'!$J$158:$I$158</f>
            </numRef>
          </val>
        </ser>
        <ser>
          <idx val="20"/>
          <order val="20"/>
          <tx>
            <strRef>
              <f>'CASHFLOW'!J158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'CASHFLOW'!$K$158:$J$158</f>
            </numRef>
          </val>
        </ser>
        <ser>
          <idx val="21"/>
          <order val="21"/>
          <tx>
            <strRef>
              <f>'CASHFLOW'!K158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'CASHFLOW'!$B$146:$K$146</f>
            </numRef>
          </cat>
          <val>
            <numRef>
              <f>'CASHFLOW'!$L$158:$K$158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DSCR and Interest Coverage</a:t>
            </a:r>
          </a:p>
        </rich>
      </tx>
    </title>
    <plotArea>
      <lineChart>
        <grouping val="standard"/>
        <ser>
          <idx val="0"/>
          <order val="0"/>
          <tx>
            <strRef>
              <f>'RATIOS_BREAKEVEN'!A10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'RATIOS_BREAKEVEN'!$B$10:$A$10</f>
            </numRef>
          </val>
        </ser>
        <ser>
          <idx val="1"/>
          <order val="1"/>
          <tx>
            <strRef>
              <f>'RATIOS_BREAKEVEN'!B10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'RATIOS_BREAKEVEN'!$C$10:$B$10</f>
            </numRef>
          </val>
        </ser>
        <ser>
          <idx val="2"/>
          <order val="2"/>
          <tx>
            <strRef>
              <f>'RATIOS_BREAKEVEN'!C10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'RATIOS_BREAKEVEN'!$D$10:$C$10</f>
            </numRef>
          </val>
        </ser>
        <ser>
          <idx val="3"/>
          <order val="3"/>
          <tx>
            <strRef>
              <f>'RATIOS_BREAKEVEN'!D10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'RATIOS_BREAKEVEN'!$E$10:$D$10</f>
            </numRef>
          </val>
        </ser>
        <ser>
          <idx val="4"/>
          <order val="4"/>
          <tx>
            <strRef>
              <f>'RATIOS_BREAKEVEN'!E10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'RATIOS_BREAKEVEN'!$F$10:$E$10</f>
            </numRef>
          </val>
        </ser>
        <ser>
          <idx val="5"/>
          <order val="5"/>
          <tx>
            <strRef>
              <f>'RATIOS_BREAKEVEN'!F10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'RATIOS_BREAKEVEN'!$G$10:$F$10</f>
            </numRef>
          </val>
        </ser>
        <ser>
          <idx val="6"/>
          <order val="6"/>
          <tx>
            <strRef>
              <f>'RATIOS_BREAKEVEN'!G10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'RATIOS_BREAKEVEN'!$H$10:$G$10</f>
            </numRef>
          </val>
        </ser>
        <ser>
          <idx val="7"/>
          <order val="7"/>
          <tx>
            <strRef>
              <f>'RATIOS_BREAKEVEN'!H10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'RATIOS_BREAKEVEN'!$I$10:$H$10</f>
            </numRef>
          </val>
        </ser>
        <ser>
          <idx val="8"/>
          <order val="8"/>
          <tx>
            <strRef>
              <f>'RATIOS_BREAKEVEN'!I10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'RATIOS_BREAKEVEN'!$J$10:$I$10</f>
            </numRef>
          </val>
        </ser>
        <ser>
          <idx val="9"/>
          <order val="9"/>
          <tx>
            <strRef>
              <f>'RATIOS_BREAKEVEN'!J10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'RATIOS_BREAKEVEN'!$K$10:$J$10</f>
            </numRef>
          </val>
        </ser>
        <ser>
          <idx val="10"/>
          <order val="10"/>
          <tx>
            <strRef>
              <f>'RATIOS_BREAKEVEN'!K10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'RATIOS_BREAKEVEN'!$L$10:$K$10</f>
            </numRef>
          </val>
        </ser>
        <ser>
          <idx val="11"/>
          <order val="11"/>
          <tx>
            <strRef>
              <f>'RATIOS_BREAKEVEN'!A12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'RATIOS_BREAKEVEN'!$B$12:$A$12</f>
            </numRef>
          </val>
        </ser>
        <ser>
          <idx val="12"/>
          <order val="12"/>
          <tx>
            <strRef>
              <f>'RATIOS_BREAKEVEN'!B12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'RATIOS_BREAKEVEN'!$C$12:$B$12</f>
            </numRef>
          </val>
        </ser>
        <ser>
          <idx val="13"/>
          <order val="13"/>
          <tx>
            <strRef>
              <f>'RATIOS_BREAKEVEN'!C12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'RATIOS_BREAKEVEN'!$D$12:$C$12</f>
            </numRef>
          </val>
        </ser>
        <ser>
          <idx val="14"/>
          <order val="14"/>
          <tx>
            <strRef>
              <f>'RATIOS_BREAKEVEN'!D12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'RATIOS_BREAKEVEN'!$E$12:$D$12</f>
            </numRef>
          </val>
        </ser>
        <ser>
          <idx val="15"/>
          <order val="15"/>
          <tx>
            <strRef>
              <f>'RATIOS_BREAKEVEN'!E12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'RATIOS_BREAKEVEN'!$F$12:$E$12</f>
            </numRef>
          </val>
        </ser>
        <ser>
          <idx val="16"/>
          <order val="16"/>
          <tx>
            <strRef>
              <f>'RATIOS_BREAKEVEN'!F12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'RATIOS_BREAKEVEN'!$G$12:$F$12</f>
            </numRef>
          </val>
        </ser>
        <ser>
          <idx val="17"/>
          <order val="17"/>
          <tx>
            <strRef>
              <f>'RATIOS_BREAKEVEN'!G12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'RATIOS_BREAKEVEN'!$H$12:$G$12</f>
            </numRef>
          </val>
        </ser>
        <ser>
          <idx val="18"/>
          <order val="18"/>
          <tx>
            <strRef>
              <f>'RATIOS_BREAKEVEN'!H12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'RATIOS_BREAKEVEN'!$I$12:$H$12</f>
            </numRef>
          </val>
        </ser>
        <ser>
          <idx val="19"/>
          <order val="19"/>
          <tx>
            <strRef>
              <f>'RATIOS_BREAKEVEN'!I12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'RATIOS_BREAKEVEN'!$J$12:$I$12</f>
            </numRef>
          </val>
        </ser>
        <ser>
          <idx val="20"/>
          <order val="20"/>
          <tx>
            <strRef>
              <f>'RATIOS_BREAKEVEN'!J12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'RATIOS_BREAKEVEN'!$K$12:$J$12</f>
            </numRef>
          </val>
        </ser>
        <ser>
          <idx val="21"/>
          <order val="21"/>
          <tx>
            <strRef>
              <f>'RATIOS_BREAKEVEN'!K12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'RATIOS_BREAKEVEN'!$B$7:$K$7</f>
            </numRef>
          </cat>
          <val>
            <numRef>
              <f>'RATIOS_BREAKEVEN'!$L$12:$K$12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Break-Even Liters and Margin of Safety</a:t>
            </a:r>
          </a:p>
        </rich>
      </tx>
    </title>
    <plotArea>
      <lineChart>
        <grouping val="standard"/>
        <ser>
          <idx val="0"/>
          <order val="0"/>
          <tx>
            <strRef>
              <f>'RATIOS_BREAKEVEN'!A27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'RATIOS_BREAKEVEN'!$B$27:$A$27</f>
            </numRef>
          </val>
        </ser>
        <ser>
          <idx val="1"/>
          <order val="1"/>
          <tx>
            <strRef>
              <f>'RATIOS_BREAKEVEN'!B27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'RATIOS_BREAKEVEN'!$C$27:$B$27</f>
            </numRef>
          </val>
        </ser>
        <ser>
          <idx val="2"/>
          <order val="2"/>
          <tx>
            <strRef>
              <f>'RATIOS_BREAKEVEN'!C27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'RATIOS_BREAKEVEN'!$D$27:$C$27</f>
            </numRef>
          </val>
        </ser>
        <ser>
          <idx val="3"/>
          <order val="3"/>
          <tx>
            <strRef>
              <f>'RATIOS_BREAKEVEN'!D27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'RATIOS_BREAKEVEN'!$E$27:$D$27</f>
            </numRef>
          </val>
        </ser>
        <ser>
          <idx val="4"/>
          <order val="4"/>
          <tx>
            <strRef>
              <f>'RATIOS_BREAKEVEN'!E27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'RATIOS_BREAKEVEN'!$F$27:$E$27</f>
            </numRef>
          </val>
        </ser>
        <ser>
          <idx val="5"/>
          <order val="5"/>
          <tx>
            <strRef>
              <f>'RATIOS_BREAKEVEN'!F27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'RATIOS_BREAKEVEN'!$G$27:$F$27</f>
            </numRef>
          </val>
        </ser>
        <ser>
          <idx val="6"/>
          <order val="6"/>
          <tx>
            <strRef>
              <f>'RATIOS_BREAKEVEN'!G27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'RATIOS_BREAKEVEN'!$H$27:$G$27</f>
            </numRef>
          </val>
        </ser>
        <ser>
          <idx val="7"/>
          <order val="7"/>
          <tx>
            <strRef>
              <f>'RATIOS_BREAKEVEN'!H27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'RATIOS_BREAKEVEN'!$I$27:$H$27</f>
            </numRef>
          </val>
        </ser>
        <ser>
          <idx val="8"/>
          <order val="8"/>
          <tx>
            <strRef>
              <f>'RATIOS_BREAKEVEN'!I27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'RATIOS_BREAKEVEN'!$J$27:$I$27</f>
            </numRef>
          </val>
        </ser>
        <ser>
          <idx val="9"/>
          <order val="9"/>
          <tx>
            <strRef>
              <f>'RATIOS_BREAKEVEN'!J27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'RATIOS_BREAKEVEN'!$K$27:$J$27</f>
            </numRef>
          </val>
        </ser>
        <ser>
          <idx val="10"/>
          <order val="10"/>
          <tx>
            <strRef>
              <f>'RATIOS_BREAKEVEN'!K27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'RATIOS_BREAKEVEN'!$L$27:$K$27</f>
            </numRef>
          </val>
        </ser>
        <ser>
          <idx val="11"/>
          <order val="11"/>
          <tx>
            <strRef>
              <f>'RATIOS_BREAKEVEN'!A28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'RATIOS_BREAKEVEN'!$B$28:$A$28</f>
            </numRef>
          </val>
        </ser>
        <ser>
          <idx val="12"/>
          <order val="12"/>
          <tx>
            <strRef>
              <f>'RATIOS_BREAKEVEN'!B28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'RATIOS_BREAKEVEN'!$C$28:$B$28</f>
            </numRef>
          </val>
        </ser>
        <ser>
          <idx val="13"/>
          <order val="13"/>
          <tx>
            <strRef>
              <f>'RATIOS_BREAKEVEN'!C28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'RATIOS_BREAKEVEN'!$D$28:$C$28</f>
            </numRef>
          </val>
        </ser>
        <ser>
          <idx val="14"/>
          <order val="14"/>
          <tx>
            <strRef>
              <f>'RATIOS_BREAKEVEN'!D28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'RATIOS_BREAKEVEN'!$E$28:$D$28</f>
            </numRef>
          </val>
        </ser>
        <ser>
          <idx val="15"/>
          <order val="15"/>
          <tx>
            <strRef>
              <f>'RATIOS_BREAKEVEN'!E28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'RATIOS_BREAKEVEN'!$F$28:$E$28</f>
            </numRef>
          </val>
        </ser>
        <ser>
          <idx val="16"/>
          <order val="16"/>
          <tx>
            <strRef>
              <f>'RATIOS_BREAKEVEN'!F28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'RATIOS_BREAKEVEN'!$G$28:$F$28</f>
            </numRef>
          </val>
        </ser>
        <ser>
          <idx val="17"/>
          <order val="17"/>
          <tx>
            <strRef>
              <f>'RATIOS_BREAKEVEN'!G28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'RATIOS_BREAKEVEN'!$H$28:$G$28</f>
            </numRef>
          </val>
        </ser>
        <ser>
          <idx val="18"/>
          <order val="18"/>
          <tx>
            <strRef>
              <f>'RATIOS_BREAKEVEN'!H28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'RATIOS_BREAKEVEN'!$I$28:$H$28</f>
            </numRef>
          </val>
        </ser>
        <ser>
          <idx val="19"/>
          <order val="19"/>
          <tx>
            <strRef>
              <f>'RATIOS_BREAKEVEN'!I28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'RATIOS_BREAKEVEN'!$J$28:$I$28</f>
            </numRef>
          </val>
        </ser>
        <ser>
          <idx val="20"/>
          <order val="20"/>
          <tx>
            <strRef>
              <f>'RATIOS_BREAKEVEN'!J28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'RATIOS_BREAKEVEN'!$K$28:$J$28</f>
            </numRef>
          </val>
        </ser>
        <ser>
          <idx val="21"/>
          <order val="21"/>
          <tx>
            <strRef>
              <f>'RATIOS_BREAKEVEN'!K28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'RATIOS_BREAKEVEN'!$B$19:$K$19</f>
            </numRef>
          </cat>
          <val>
            <numRef>
              <f>'RATIOS_BREAKEVEN'!$L$28:$K$28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Litres / %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_rels/drawing2.xml.rels><Relationships xmlns="http://schemas.openxmlformats.org/package/2006/relationships"><Relationship Type="http://schemas.openxmlformats.org/officeDocument/2006/relationships/chart" Target="/xl/charts/chart6.xml" Id="rId1"/><Relationship Type="http://schemas.openxmlformats.org/officeDocument/2006/relationships/chart" Target="/xl/charts/chart7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8.xml" Id="rId1"/><Relationship Type="http://schemas.openxmlformats.org/officeDocument/2006/relationships/chart" Target="/xl/charts/chart9.xml" Id="rId2"/><Relationship Type="http://schemas.openxmlformats.org/officeDocument/2006/relationships/chart" Target="/xl/charts/chart10.xml" Id="rId3"/><Relationship Type="http://schemas.openxmlformats.org/officeDocument/2006/relationships/chart" Target="/xl/charts/chart11.xml" Id="rId4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2.xml" Id="rId1"/><Relationship Type="http://schemas.openxmlformats.org/officeDocument/2006/relationships/chart" Target="/xl/charts/chart13.xml" Id="rId2"/><Relationship Type="http://schemas.openxmlformats.org/officeDocument/2006/relationships/chart" Target="/xl/charts/chart14.xml" Id="rId3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5.xml" Id="rId1"/><Relationship Type="http://schemas.openxmlformats.org/officeDocument/2006/relationships/chart" Target="/xl/charts/chart16.xml" Id="rId2"/><Relationship Type="http://schemas.openxmlformats.org/officeDocument/2006/relationships/chart" Target="/xl/charts/chart17.xml" Id="rId3"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20.xml" Id="rId1"/><Relationship Type="http://schemas.openxmlformats.org/officeDocument/2006/relationships/chart" Target="/xl/charts/chart21.xml" Id="rId2"/><Relationship Type="http://schemas.openxmlformats.org/officeDocument/2006/relationships/chart" Target="/xl/charts/chart22.xml" Id="rId3"/></Relationships>
</file>

<file path=xl/drawings/_rels/drawing9.xml.rels><Relationships xmlns="http://schemas.openxmlformats.org/package/2006/relationships"><Relationship Type="http://schemas.openxmlformats.org/officeDocument/2006/relationships/chart" Target="/xl/charts/chart23.xml" Id="rId1"/><Relationship Type="http://schemas.openxmlformats.org/officeDocument/2006/relationships/chart" Target="/xl/charts/chart24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33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49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5</col>
      <colOff>0</colOff>
      <row>65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36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12</col>
      <colOff>0</colOff>
      <row>53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36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36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36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12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M11" sqref="M11"/>
    </sheetView>
  </sheetViews>
  <sheetFormatPr baseColWidth="10" defaultColWidth="8.83203125" defaultRowHeight="15"/>
  <cols>
    <col width="30" customWidth="1" style="239" min="1" max="1"/>
    <col width="18" customWidth="1" style="239" min="2" max="2"/>
    <col width="56" customWidth="1" style="239" min="3" max="3"/>
    <col width="28" customWidth="1" style="239" min="4" max="4"/>
  </cols>
  <sheetData>
    <row r="1">
      <c r="A1" s="252" t="inlineStr">
        <is>
          <t>Agbaku Ranch BOA Integrated Credit Dashboard - v10 Normalized</t>
        </is>
      </c>
      <c r="B1" s="250" t="n"/>
      <c r="C1" s="250" t="n"/>
      <c r="D1" s="250" t="n"/>
      <c r="E1" s="250" t="n"/>
      <c r="F1" s="250" t="n"/>
      <c r="G1" s="250" t="n"/>
      <c r="H1" s="251" t="n"/>
    </row>
    <row r="2">
      <c r="A2" s="249" t="inlineStr">
        <is>
          <t>Lender-grade 21-sheet BOA integrated model with governed assumptions, visible appendices, cash-flow bridge, ratios, and stress testing.</t>
        </is>
      </c>
      <c r="B2" s="250" t="n"/>
      <c r="C2" s="250" t="n"/>
      <c r="D2" s="250" t="n"/>
      <c r="E2" s="250" t="n"/>
      <c r="F2" s="250" t="n"/>
      <c r="G2" s="250" t="n"/>
      <c r="H2" s="251" t="n"/>
    </row>
    <row r="3">
      <c r="A3" s="241" t="n"/>
      <c r="B3" s="241" t="n"/>
      <c r="C3" s="241" t="n"/>
      <c r="D3" s="241" t="n"/>
      <c r="E3" s="241" t="n"/>
      <c r="F3" s="241" t="n"/>
      <c r="G3" s="241" t="n"/>
      <c r="H3" s="241" t="n"/>
    </row>
    <row r="4" ht="16" customHeight="1" s="239">
      <c r="A4" s="139" t="inlineStr">
        <is>
          <t>Metric</t>
        </is>
      </c>
      <c r="B4" s="139" t="inlineStr">
        <is>
          <t>Value</t>
        </is>
      </c>
      <c r="C4" s="139" t="inlineStr">
        <is>
          <t>Comment</t>
        </is>
      </c>
      <c r="D4" s="139" t="inlineStr">
        <is>
          <t>Linked Source</t>
        </is>
      </c>
      <c r="E4" s="241" t="n"/>
      <c r="F4" s="241" t="n"/>
      <c r="G4" s="241" t="n"/>
      <c r="H4" s="241" t="n"/>
    </row>
    <row r="5" ht="16" customHeight="1" s="239">
      <c r="A5" s="241" t="inlineStr">
        <is>
          <t>Loan Amount</t>
        </is>
      </c>
      <c r="B5" s="140">
        <f>IFERROR(ASSUMPTIONS!B5,"")</f>
        <v/>
      </c>
      <c r="C5" s="241" t="inlineStr">
        <is>
          <t>BOA loan request</t>
        </is>
      </c>
      <c r="D5" s="241" t="inlineStr">
        <is>
          <t>ASSUMPTIONS!B5</t>
        </is>
      </c>
      <c r="E5" s="241" t="n"/>
      <c r="F5" s="241" t="n"/>
      <c r="G5" s="241" t="n"/>
      <c r="H5" s="241" t="n"/>
    </row>
    <row r="6" ht="16" customHeight="1" s="239">
      <c r="A6" s="241" t="inlineStr">
        <is>
          <t>Debt Tenor</t>
        </is>
      </c>
      <c r="B6" s="140">
        <f>IFERROR(ASSUMPTIONS!B7&amp;" years","")</f>
        <v/>
      </c>
      <c r="C6" s="241" t="inlineStr">
        <is>
          <t>Preserved tenor</t>
        </is>
      </c>
      <c r="D6" s="241" t="inlineStr">
        <is>
          <t>ASSUMPTIONS!B7</t>
        </is>
      </c>
      <c r="E6" s="241" t="n"/>
      <c r="F6" s="241" t="n"/>
      <c r="G6" s="241" t="n"/>
      <c r="H6" s="241" t="n"/>
    </row>
    <row r="7" ht="16" customHeight="1" s="239">
      <c r="A7" s="241" t="inlineStr">
        <is>
          <t>Principal Moratorium</t>
        </is>
      </c>
      <c r="B7" s="140">
        <f>IFERROR(ASSUMPTIONS!B8&amp;" years","")</f>
        <v/>
      </c>
      <c r="C7" s="241" t="inlineStr">
        <is>
          <t>24 months</t>
        </is>
      </c>
      <c r="D7" s="241" t="inlineStr">
        <is>
          <t>ASSUMPTIONS!B8</t>
        </is>
      </c>
      <c r="E7" s="241" t="n"/>
      <c r="F7" s="241" t="n"/>
      <c r="G7" s="241" t="n"/>
      <c r="H7" s="241" t="n"/>
    </row>
    <row r="8" ht="16" customHeight="1" s="239">
      <c r="A8" s="241" t="inlineStr">
        <is>
          <t>Interest Rate</t>
        </is>
      </c>
      <c r="B8" s="140">
        <f>IFERROR(ASSUMPTIONS!B6,"")</f>
        <v/>
      </c>
      <c r="C8" s="241" t="inlineStr">
        <is>
          <t>BOA v10 rate</t>
        </is>
      </c>
      <c r="D8" s="241" t="inlineStr">
        <is>
          <t>ASSUMPTIONS!B6</t>
        </is>
      </c>
      <c r="E8" s="241" t="n"/>
      <c r="F8" s="241" t="n"/>
      <c r="G8" s="241" t="n"/>
      <c r="H8" s="241" t="n"/>
    </row>
    <row r="9" ht="16" customHeight="1" s="239">
      <c r="A9" s="241" t="inlineStr">
        <is>
          <t>Equity Contribution</t>
        </is>
      </c>
      <c r="B9" s="140">
        <f>IFERROR(ASSUMPTIONS!B10,"")</f>
        <v/>
      </c>
      <c r="C9" s="155" t="inlineStr">
        <is>
          <t>Non-cash Land equity</t>
        </is>
      </c>
      <c r="D9" s="241" t="inlineStr">
        <is>
          <t>ASSUMPTIONS!B10</t>
        </is>
      </c>
      <c r="E9" s="241" t="n"/>
      <c r="F9" s="241" t="n"/>
      <c r="G9" s="241" t="n"/>
      <c r="H9" s="241" t="n"/>
    </row>
    <row r="10" ht="16" customHeight="1" s="239">
      <c r="A10" s="241" t="inlineStr">
        <is>
          <t>Opening Herd CAPEX</t>
        </is>
      </c>
      <c r="B10" s="156">
        <f>ASSUMPTIONS!D62</f>
        <v/>
      </c>
      <c r="C10" s="241" t="inlineStr">
        <is>
          <t>Cows, breeding bulls, fattening bulls</t>
        </is>
      </c>
      <c r="D10" s="241" t="inlineStr">
        <is>
          <t>ASSUMPTIONS!D56:D58</t>
        </is>
      </c>
      <c r="E10" s="241" t="n"/>
      <c r="F10" s="241" t="n"/>
      <c r="G10" s="241" t="n"/>
      <c r="H10" s="241" t="n"/>
    </row>
    <row r="11" ht="16" customHeight="1" s="239">
      <c r="A11" s="241" t="inlineStr">
        <is>
          <t>Year 10 Cash</t>
        </is>
      </c>
      <c r="B11" s="140">
        <f>IFERROR(CASHFLOW!K44,"")</f>
        <v/>
      </c>
      <c r="C11" s="241" t="inlineStr">
        <is>
          <t>Year 10 ending cash from annual cash flow</t>
        </is>
      </c>
      <c r="D11" s="241" t="inlineStr">
        <is>
          <t>CASHFLOW!K44</t>
        </is>
      </c>
      <c r="E11" s="241" t="n"/>
      <c r="F11" s="241" t="n"/>
      <c r="G11" s="241" t="n"/>
      <c r="H11" s="241" t="n"/>
    </row>
    <row r="12" ht="16" customHeight="1" s="239">
      <c r="A12" s="241" t="inlineStr">
        <is>
          <t>Min DSCR</t>
        </is>
      </c>
      <c r="B12" s="263">
        <f>IFERROR(ASSUMPTIONS!$B$16,"")</f>
        <v/>
      </c>
      <c r="C12" s="241" t="inlineStr">
        <is>
          <t>Minimum DSCR covenant</t>
        </is>
      </c>
      <c r="D12" s="241" t="inlineStr">
        <is>
          <t>ASSUMPTIONS!B16</t>
        </is>
      </c>
      <c r="E12" s="241" t="n"/>
      <c r="F12" s="241" t="n"/>
      <c r="G12" s="241" t="n"/>
      <c r="H12" s="241" t="n"/>
    </row>
    <row r="13" ht="16" customHeight="1" s="239">
      <c r="A13" s="241" t="inlineStr">
        <is>
          <t>Min Moratorium Interest Coverage</t>
        </is>
      </c>
      <c r="B13" s="140">
        <f>IFERROR(MIN(MORATORIUM_COVERAGE!B10:Y10),"")</f>
        <v/>
      </c>
      <c r="C13" s="241" t="inlineStr">
        <is>
          <t>M1-24 operating cash / interest</t>
        </is>
      </c>
      <c r="D13" s="241" t="inlineStr">
        <is>
          <t>MORATORIUM_COVERAGE</t>
        </is>
      </c>
      <c r="E13" s="241" t="n"/>
      <c r="F13" s="241" t="n"/>
      <c r="G13" s="241" t="n"/>
      <c r="H13" s="241" t="n"/>
    </row>
    <row r="14" ht="16" customHeight="1" s="239">
      <c r="A14" s="241" t="inlineStr">
        <is>
          <t>Feed Self-Sufficiency</t>
        </is>
      </c>
      <c r="B14" s="140">
        <f>IFERROR(FEED_FARM!K27,"")</f>
        <v/>
      </c>
      <c r="C14" s="241" t="inlineStr">
        <is>
          <t>Target 90%</t>
        </is>
      </c>
      <c r="D14" s="241" t="inlineStr">
        <is>
          <t>FEED_FARM!K27</t>
        </is>
      </c>
      <c r="E14" s="241" t="n"/>
      <c r="F14" s="241" t="n"/>
      <c r="G14" s="241" t="n"/>
      <c r="H14" s="241" t="n"/>
    </row>
    <row r="15" ht="16" customHeight="1" s="239">
      <c r="A15" s="241" t="inlineStr">
        <is>
          <t>Bulls Sold / Fattened</t>
        </is>
      </c>
      <c r="B15" s="140">
        <f>IFERROR(FATTENING!K13,"")</f>
        <v/>
      </c>
      <c r="C15" s="241" t="inlineStr">
        <is>
          <t>Year 10 saleable bulls</t>
        </is>
      </c>
      <c r="D15" s="241" t="inlineStr">
        <is>
          <t>FATTENING!K13</t>
        </is>
      </c>
      <c r="E15" s="241" t="n"/>
      <c r="F15" s="241" t="n"/>
      <c r="G15" s="241" t="n"/>
      <c r="H15" s="241" t="n"/>
    </row>
    <row r="16" ht="16" customHeight="1" s="239">
      <c r="A16" s="241" t="inlineStr">
        <is>
          <t>Milk Production</t>
        </is>
      </c>
      <c r="B16" s="140">
        <f>IFERROR(DAIRY!K4,"")</f>
        <v/>
      </c>
      <c r="C16" s="241" t="inlineStr">
        <is>
          <t>Year 10 milk liters</t>
        </is>
      </c>
      <c r="D16" s="241" t="inlineStr">
        <is>
          <t>DAIRY!K4</t>
        </is>
      </c>
      <c r="E16" s="241" t="n"/>
      <c r="F16" s="241" t="n"/>
      <c r="G16" s="241" t="n"/>
      <c r="H16" s="241" t="n"/>
    </row>
    <row r="17" ht="16" customHeight="1" s="239">
      <c r="A17" s="241" t="inlineStr">
        <is>
          <t>Integrated BOA Sheets</t>
        </is>
      </c>
      <c r="B17" s="140" t="n">
        <v>21</v>
      </c>
      <c r="C17" s="241" t="inlineStr">
        <is>
          <t>21 visible sheets; legacy reporting bridges removed or renamed</t>
        </is>
      </c>
      <c r="D17" s="241" t="inlineStr">
        <is>
          <t>MODEL_AUDIT</t>
        </is>
      </c>
      <c r="E17" s="241" t="n"/>
      <c r="F17" s="241" t="n"/>
      <c r="G17" s="241" t="n"/>
      <c r="H17" s="241" t="n"/>
    </row>
    <row r="18">
      <c r="A18" s="241" t="n"/>
      <c r="B18" s="241" t="n"/>
      <c r="C18" s="241" t="n"/>
      <c r="D18" s="241" t="n"/>
      <c r="E18" s="241" t="n"/>
      <c r="F18" s="241" t="n"/>
      <c r="G18" s="241" t="n"/>
      <c r="H18" s="241" t="n"/>
    </row>
    <row r="19">
      <c r="A19" s="241" t="n"/>
      <c r="B19" s="241" t="n"/>
      <c r="C19" s="241" t="n"/>
      <c r="D19" s="241" t="n"/>
      <c r="E19" s="241" t="n"/>
      <c r="F19" s="241" t="n"/>
      <c r="G19" s="241" t="n"/>
      <c r="H19" s="241" t="n"/>
    </row>
    <row r="20">
      <c r="A20" s="241" t="n"/>
      <c r="B20" s="241" t="n"/>
      <c r="C20" s="241" t="n"/>
      <c r="D20" s="241" t="n"/>
      <c r="E20" s="241" t="n"/>
      <c r="F20" s="241" t="n"/>
      <c r="G20" s="241" t="n"/>
      <c r="H20" s="241" t="n"/>
    </row>
    <row r="21">
      <c r="A21" s="241" t="n"/>
      <c r="B21" s="241" t="n"/>
      <c r="C21" s="241" t="n"/>
      <c r="D21" s="241" t="n"/>
      <c r="E21" s="241" t="n"/>
      <c r="F21" s="241" t="n"/>
      <c r="G21" s="241" t="n"/>
      <c r="H21" s="241" t="n"/>
    </row>
    <row r="22" ht="16" customHeight="1" s="239">
      <c r="A22" s="141" t="inlineStr">
        <is>
          <t>Executive Summary</t>
        </is>
      </c>
      <c r="B22" s="142" t="n"/>
      <c r="C22" s="142" t="n"/>
      <c r="D22" s="142" t="n"/>
      <c r="E22" s="241" t="n"/>
      <c r="F22" s="241" t="n"/>
      <c r="G22" s="241" t="n"/>
      <c r="H22" s="241" t="n"/>
    </row>
    <row r="23">
      <c r="A23" s="241" t="inlineStr">
        <is>
          <t>Borrow NGN 275m to establish an integrated ranch where feed production supports dairy and bull fattening; bull fattening generates short-cycle cash during the moratorium period; dairy provides medium-term growth; processing remains a later expansion option funded from internally generated cash.</t>
        </is>
      </c>
      <c r="B23" s="242" t="n"/>
      <c r="C23" s="242" t="n"/>
      <c r="D23" s="243" t="n"/>
      <c r="E23" s="241" t="n"/>
      <c r="F23" s="241" t="n"/>
      <c r="G23" s="241" t="n"/>
      <c r="H23" s="241" t="n"/>
    </row>
    <row r="24">
      <c r="A24" s="244" t="n"/>
      <c r="D24" s="245" t="n"/>
      <c r="E24" s="241" t="n"/>
      <c r="F24" s="241" t="n"/>
      <c r="G24" s="241" t="n"/>
      <c r="H24" s="241" t="n"/>
    </row>
    <row r="25">
      <c r="A25" s="246" t="n"/>
      <c r="B25" s="247" t="n"/>
      <c r="C25" s="247" t="n"/>
      <c r="D25" s="248" t="n"/>
      <c r="E25" s="241" t="n"/>
      <c r="F25" s="241" t="n"/>
      <c r="G25" s="241" t="n"/>
      <c r="H25" s="241" t="n"/>
    </row>
    <row r="30">
      <c r="A30" s="265" t="inlineStr">
        <is>
          <t>Circular Economy KPI Block - Version 2</t>
        </is>
      </c>
    </row>
    <row r="31">
      <c r="A31" s="265" t="inlineStr">
        <is>
          <t>Line Item</t>
        </is>
      </c>
      <c r="B31" s="265" t="inlineStr">
        <is>
          <t>Y1</t>
        </is>
      </c>
      <c r="C31" s="265" t="inlineStr">
        <is>
          <t>Y2</t>
        </is>
      </c>
      <c r="D31" s="265" t="inlineStr">
        <is>
          <t>Y3</t>
        </is>
      </c>
      <c r="E31" s="265" t="inlineStr">
        <is>
          <t>Y4</t>
        </is>
      </c>
      <c r="F31" s="265" t="inlineStr">
        <is>
          <t>Y5</t>
        </is>
      </c>
      <c r="G31" s="265" t="inlineStr">
        <is>
          <t>Y6</t>
        </is>
      </c>
      <c r="H31" s="265" t="inlineStr">
        <is>
          <t>Y7</t>
        </is>
      </c>
      <c r="I31" s="265" t="inlineStr">
        <is>
          <t>Y8</t>
        </is>
      </c>
      <c r="J31" s="265" t="inlineStr">
        <is>
          <t>Y9</t>
        </is>
      </c>
      <c r="K31" s="265" t="inlineStr">
        <is>
          <t>Y10</t>
        </is>
      </c>
    </row>
    <row r="32">
      <c r="A32" s="393" t="inlineStr">
        <is>
          <t>Total Manure Produced</t>
        </is>
      </c>
      <c r="B32">
        <f>IFERROR(DAIRY!B22+FATTENING!B42,"")</f>
        <v/>
      </c>
      <c r="C32">
        <f>IFERROR(DAIRY!C22+FATTENING!C42,"")</f>
        <v/>
      </c>
      <c r="D32">
        <f>IFERROR(DAIRY!D22+FATTENING!D42,"")</f>
        <v/>
      </c>
      <c r="E32">
        <f>IFERROR(DAIRY!E22+FATTENING!E42,"")</f>
        <v/>
      </c>
      <c r="F32">
        <f>IFERROR(DAIRY!F22+FATTENING!F42,"")</f>
        <v/>
      </c>
      <c r="G32">
        <f>IFERROR(DAIRY!G22+FATTENING!G42,"")</f>
        <v/>
      </c>
      <c r="H32">
        <f>IFERROR(DAIRY!H22+FATTENING!H42,"")</f>
        <v/>
      </c>
      <c r="I32">
        <f>IFERROR(DAIRY!I22+FATTENING!I42,"")</f>
        <v/>
      </c>
      <c r="J32">
        <f>IFERROR(DAIRY!J22+FATTENING!J42,"")</f>
        <v/>
      </c>
      <c r="K32">
        <f>IFERROR(DAIRY!K22+FATTENING!K42,"")</f>
        <v/>
      </c>
    </row>
    <row r="33">
      <c r="A33" s="394" t="inlineStr">
        <is>
          <t>Feed Farm Manure Utilized</t>
        </is>
      </c>
      <c r="B33">
        <f>IFERROR(FEED_FARM!B192,"")</f>
        <v/>
      </c>
      <c r="C33">
        <f>IFERROR(FEED_FARM!C192,"")</f>
        <v/>
      </c>
      <c r="D33">
        <f>IFERROR(FEED_FARM!D192,"")</f>
        <v/>
      </c>
      <c r="E33">
        <f>IFERROR(FEED_FARM!E192,"")</f>
        <v/>
      </c>
      <c r="F33">
        <f>IFERROR(FEED_FARM!F192,"")</f>
        <v/>
      </c>
      <c r="G33">
        <f>IFERROR(FEED_FARM!G192,"")</f>
        <v/>
      </c>
      <c r="H33">
        <f>IFERROR(FEED_FARM!H192,"")</f>
        <v/>
      </c>
      <c r="I33">
        <f>IFERROR(FEED_FARM!I192,"")</f>
        <v/>
      </c>
      <c r="J33">
        <f>IFERROR(FEED_FARM!J192,"")</f>
        <v/>
      </c>
      <c r="K33">
        <f>IFERROR(FEED_FARM!K192,"")</f>
        <v/>
      </c>
    </row>
    <row r="34">
      <c r="A34" s="394" t="inlineStr">
        <is>
          <t>Biogas Manure Consumed</t>
        </is>
      </c>
      <c r="B34">
        <f>IFERROR(DAIRY!B25+FATTENING!B45,"")</f>
        <v/>
      </c>
      <c r="C34">
        <f>IFERROR(DAIRY!C25+FATTENING!C45,"")</f>
        <v/>
      </c>
      <c r="D34">
        <f>IFERROR(DAIRY!D25+FATTENING!D45,"")</f>
        <v/>
      </c>
      <c r="E34">
        <f>IFERROR(DAIRY!E25+FATTENING!E45,"")</f>
        <v/>
      </c>
      <c r="F34">
        <f>IFERROR(DAIRY!F25+FATTENING!F45,"")</f>
        <v/>
      </c>
      <c r="G34">
        <f>IFERROR(DAIRY!G25+FATTENING!G45,"")</f>
        <v/>
      </c>
      <c r="H34">
        <f>IFERROR(DAIRY!H25+FATTENING!H45,"")</f>
        <v/>
      </c>
      <c r="I34">
        <f>IFERROR(DAIRY!I25+FATTENING!I45,"")</f>
        <v/>
      </c>
      <c r="J34">
        <f>IFERROR(DAIRY!J25+FATTENING!J45,"")</f>
        <v/>
      </c>
      <c r="K34">
        <f>IFERROR(DAIRY!K25+FATTENING!K45,"")</f>
        <v/>
      </c>
    </row>
    <row r="35">
      <c r="A35" s="394" t="inlineStr">
        <is>
          <t>External Manure Sales</t>
        </is>
      </c>
      <c r="B35">
        <f>IFERROR(DAIRY!B26+FATTENING!B46,"")</f>
        <v/>
      </c>
      <c r="C35">
        <f>IFERROR(DAIRY!C26+FATTENING!C46,"")</f>
        <v/>
      </c>
      <c r="D35">
        <f>IFERROR(DAIRY!D26+FATTENING!D46,"")</f>
        <v/>
      </c>
      <c r="E35">
        <f>IFERROR(DAIRY!E26+FATTENING!E46,"")</f>
        <v/>
      </c>
      <c r="F35">
        <f>IFERROR(DAIRY!F26+FATTENING!F46,"")</f>
        <v/>
      </c>
      <c r="G35">
        <f>IFERROR(DAIRY!G26+FATTENING!G46,"")</f>
        <v/>
      </c>
      <c r="H35">
        <f>IFERROR(DAIRY!H26+FATTENING!H46,"")</f>
        <v/>
      </c>
      <c r="I35">
        <f>IFERROR(DAIRY!I26+FATTENING!I46,"")</f>
        <v/>
      </c>
      <c r="J35">
        <f>IFERROR(DAIRY!J26+FATTENING!J46,"")</f>
        <v/>
      </c>
      <c r="K35">
        <f>IFERROR(DAIRY!K26+FATTENING!K46,"")</f>
        <v/>
      </c>
    </row>
    <row r="36">
      <c r="A36" s="393" t="inlineStr">
        <is>
          <t>Fertilizer Savings</t>
        </is>
      </c>
      <c r="B36">
        <f>IFERROR(OPEX!B38,"")</f>
        <v/>
      </c>
      <c r="C36">
        <f>IFERROR(OPEX!C38,"")</f>
        <v/>
      </c>
      <c r="D36">
        <f>IFERROR(OPEX!D38,"")</f>
        <v/>
      </c>
      <c r="E36">
        <f>IFERROR(OPEX!E38,"")</f>
        <v/>
      </c>
      <c r="F36">
        <f>IFERROR(OPEX!F38,"")</f>
        <v/>
      </c>
      <c r="G36">
        <f>IFERROR(OPEX!G38,"")</f>
        <v/>
      </c>
      <c r="H36">
        <f>IFERROR(OPEX!H38,"")</f>
        <v/>
      </c>
      <c r="I36">
        <f>IFERROR(OPEX!I38,"")</f>
        <v/>
      </c>
      <c r="J36">
        <f>IFERROR(OPEX!J38,"")</f>
        <v/>
      </c>
      <c r="K36">
        <f>IFERROR(OPEX!K38,"")</f>
        <v/>
      </c>
    </row>
    <row r="37">
      <c r="A37" s="393" t="inlineStr">
        <is>
          <t>Utility Savings</t>
        </is>
      </c>
      <c r="B37">
        <f>IFERROR(OPEX!B35,"")</f>
        <v/>
      </c>
      <c r="C37">
        <f>IFERROR(OPEX!C35,"")</f>
        <v/>
      </c>
      <c r="D37">
        <f>IFERROR(OPEX!D35,"")</f>
        <v/>
      </c>
      <c r="E37">
        <f>IFERROR(OPEX!E35,"")</f>
        <v/>
      </c>
      <c r="F37">
        <f>IFERROR(OPEX!F35,"")</f>
        <v/>
      </c>
      <c r="G37">
        <f>IFERROR(OPEX!G35,"")</f>
        <v/>
      </c>
      <c r="H37">
        <f>IFERROR(OPEX!H35,"")</f>
        <v/>
      </c>
      <c r="I37">
        <f>IFERROR(OPEX!I35,"")</f>
        <v/>
      </c>
      <c r="J37">
        <f>IFERROR(OPEX!J35,"")</f>
        <v/>
      </c>
      <c r="K37">
        <f>IFERROR(OPEX!K35,"")</f>
        <v/>
      </c>
    </row>
    <row r="38">
      <c r="A38" s="393" t="inlineStr">
        <is>
          <t>Diesel Savings</t>
        </is>
      </c>
      <c r="B38">
        <f>IFERROR(OPEX!B36+OPEX!B37,"")</f>
        <v/>
      </c>
      <c r="C38">
        <f>IFERROR(OPEX!C36+OPEX!C37,"")</f>
        <v/>
      </c>
      <c r="D38">
        <f>IFERROR(OPEX!D36+OPEX!D37,"")</f>
        <v/>
      </c>
      <c r="E38">
        <f>IFERROR(OPEX!E36+OPEX!E37,"")</f>
        <v/>
      </c>
      <c r="F38">
        <f>IFERROR(OPEX!F36+OPEX!F37,"")</f>
        <v/>
      </c>
      <c r="G38">
        <f>IFERROR(OPEX!G36+OPEX!G37,"")</f>
        <v/>
      </c>
      <c r="H38">
        <f>IFERROR(OPEX!H36+OPEX!H37,"")</f>
        <v/>
      </c>
      <c r="I38">
        <f>IFERROR(OPEX!I36+OPEX!I37,"")</f>
        <v/>
      </c>
      <c r="J38">
        <f>IFERROR(OPEX!J36+OPEX!J37,"")</f>
        <v/>
      </c>
      <c r="K38">
        <f>IFERROR(OPEX!K36+OPEX!K37,"")</f>
        <v/>
      </c>
    </row>
    <row r="39">
      <c r="A39" s="393" t="inlineStr">
        <is>
          <t>Net Operating Savings</t>
        </is>
      </c>
      <c r="B39">
        <f>IFERROR(OPEX!B39,"")</f>
        <v/>
      </c>
      <c r="C39">
        <f>IFERROR(OPEX!C39,"")</f>
        <v/>
      </c>
      <c r="D39">
        <f>IFERROR(OPEX!D39,"")</f>
        <v/>
      </c>
      <c r="E39">
        <f>IFERROR(OPEX!E39,"")</f>
        <v/>
      </c>
      <c r="F39">
        <f>IFERROR(OPEX!F39,"")</f>
        <v/>
      </c>
      <c r="G39">
        <f>IFERROR(OPEX!G39,"")</f>
        <v/>
      </c>
      <c r="H39">
        <f>IFERROR(OPEX!H39,"")</f>
        <v/>
      </c>
      <c r="I39">
        <f>IFERROR(OPEX!I39,"")</f>
        <v/>
      </c>
      <c r="J39">
        <f>IFERROR(OPEX!J39,"")</f>
        <v/>
      </c>
      <c r="K39">
        <f>IFERROR(OPEX!K39,"")</f>
        <v/>
      </c>
    </row>
    <row r="43">
      <c r="A43" s="265" t="inlineStr">
        <is>
          <t>Dashboard Covenant Panel</t>
        </is>
      </c>
    </row>
    <row r="44">
      <c r="A44" s="265" t="inlineStr">
        <is>
          <t>Covenant</t>
        </is>
      </c>
      <c r="B44" s="265" t="inlineStr">
        <is>
          <t>Value</t>
        </is>
      </c>
      <c r="C44" s="265" t="inlineStr">
        <is>
          <t>Status</t>
        </is>
      </c>
      <c r="D44" s="265" t="inlineStr">
        <is>
          <t>Source</t>
        </is>
      </c>
    </row>
    <row r="45">
      <c r="A45" t="inlineStr">
        <is>
          <t>Loan Amount</t>
        </is>
      </c>
      <c r="B45">
        <f>ASSUMPTIONS!B5</f>
        <v/>
      </c>
      <c r="C45" t="inlineStr">
        <is>
          <t>PASS</t>
        </is>
      </c>
      <c r="D45" t="inlineStr">
        <is>
          <t>ASSUMPTIONS!B5</t>
        </is>
      </c>
    </row>
    <row r="46">
      <c r="A46" t="inlineStr">
        <is>
          <t>Debt Balance</t>
        </is>
      </c>
      <c r="B46">
        <f>FUNDING_DEBT!I66</f>
        <v/>
      </c>
      <c r="C46">
        <f>IF(B46=0,"PASS","FAIL")</f>
        <v/>
      </c>
      <c r="D46" t="inlineStr">
        <is>
          <t>FUNDING_DEBT!I66</t>
        </is>
      </c>
    </row>
    <row r="47">
      <c r="A47" t="inlineStr">
        <is>
          <t>Minimum DSCR</t>
        </is>
      </c>
      <c r="B47">
        <f>ASSUMPTIONS!B16</f>
        <v/>
      </c>
      <c r="C47" t="inlineStr">
        <is>
          <t>PASS</t>
        </is>
      </c>
      <c r="D47" t="inlineStr">
        <is>
          <t>ASSUMPTIONS!B16</t>
        </is>
      </c>
    </row>
    <row r="48">
      <c r="A48" t="inlineStr">
        <is>
          <t>Actual Minimum DSCR</t>
        </is>
      </c>
      <c r="B48">
        <f>MIN(RATIOS_BREAKEVEN!B6:K6)</f>
        <v/>
      </c>
      <c r="C48">
        <f>IF(B48&gt;=ASSUMPTIONS!B16,"PASS","FAIL")</f>
        <v/>
      </c>
      <c r="D48" t="inlineStr">
        <is>
          <t>RATIOS_BREAKEVEN!B6:K6</t>
        </is>
      </c>
    </row>
    <row r="49">
      <c r="A49" t="inlineStr">
        <is>
          <t>Average DSCR</t>
        </is>
      </c>
      <c r="B49">
        <f>AVERAGE(RATIOS_BREAKEVEN!B6:K6)</f>
        <v/>
      </c>
      <c r="C49">
        <f>IF(B49&gt;=1.3,"PASS","FAIL")</f>
        <v/>
      </c>
      <c r="D49" t="inlineStr">
        <is>
          <t>RATIOS_BREAKEVEN!B6:K6</t>
        </is>
      </c>
    </row>
    <row r="50">
      <c r="A50" t="inlineStr">
        <is>
          <t>Debt Fully Repaid</t>
        </is>
      </c>
      <c r="B50">
        <f>FUNDING_DEBT!I66</f>
        <v/>
      </c>
      <c r="C50">
        <f>IF(ABS(B50)&lt;1,"PASS","FAIL")</f>
        <v/>
      </c>
      <c r="D50" t="inlineStr">
        <is>
          <t>FUNDING_DEBT!I66</t>
        </is>
      </c>
    </row>
    <row r="51">
      <c r="A51" t="inlineStr">
        <is>
          <t>Final Debt Balance</t>
        </is>
      </c>
      <c r="B51">
        <f>FUNDING_DEBT!I66</f>
        <v/>
      </c>
      <c r="C51">
        <f>IF(ABS(B51)&lt;1,"PASS","FAIL")</f>
        <v/>
      </c>
      <c r="D51" t="inlineStr">
        <is>
          <t>FUNDING_DEBT!I66</t>
        </is>
      </c>
    </row>
    <row r="52">
      <c r="A52" t="inlineStr">
        <is>
          <t>Minimum Cash Reserve</t>
        </is>
      </c>
      <c r="B52">
        <f>ASSUMPTIONS!N11</f>
        <v/>
      </c>
      <c r="C52" t="inlineStr">
        <is>
          <t>PASS</t>
        </is>
      </c>
      <c r="D52" t="inlineStr">
        <is>
          <t>ASSUMPTIONS!N11</t>
        </is>
      </c>
    </row>
    <row r="53">
      <c r="A53" t="inlineStr">
        <is>
          <t>Actual Minimum Cash</t>
        </is>
      </c>
      <c r="B53">
        <f>MIN(CASHFLOW!B44:K44)</f>
        <v/>
      </c>
      <c r="C53">
        <f>IF(B53&gt;=ASSUMPTIONS!N11,"PASS","FAIL")</f>
        <v/>
      </c>
      <c r="D53" t="inlineStr">
        <is>
          <t>CASHFLOW!B44:K44</t>
        </is>
      </c>
    </row>
    <row r="54">
      <c r="A54" t="inlineStr">
        <is>
          <t>Feed Self-Sufficiency</t>
        </is>
      </c>
      <c r="B54">
        <f>FEED_FARM!K27</f>
        <v/>
      </c>
      <c r="C54">
        <f>IF(B54&gt;=90%,"PASS","FAIL")</f>
        <v/>
      </c>
      <c r="D54" t="inlineStr">
        <is>
          <t>FEED_FARM!K27</t>
        </is>
      </c>
    </row>
    <row r="55">
      <c r="A55" t="inlineStr">
        <is>
          <t>Year 1 Manure Benefit</t>
        </is>
      </c>
      <c r="B55">
        <f>DAIRY!B30+FATTENING!B50</f>
        <v/>
      </c>
      <c r="C55">
        <f>IF(B55&gt;0,"PASS","FAIL")</f>
        <v/>
      </c>
      <c r="D55" t="inlineStr">
        <is>
          <t>DAIRY/FATTENING manure schedules</t>
        </is>
      </c>
    </row>
    <row r="60">
      <c r="A60" t="inlineStr">
        <is>
          <t>Dashboard Chart Data</t>
        </is>
      </c>
      <c r="B60" t="n">
        <v>1</v>
      </c>
      <c r="C60" t="n">
        <v>2</v>
      </c>
      <c r="D60" t="n">
        <v>3</v>
      </c>
      <c r="E60" t="n">
        <v>4</v>
      </c>
      <c r="F60" t="n">
        <v>5</v>
      </c>
      <c r="G60" t="n">
        <v>6</v>
      </c>
      <c r="H60" t="n">
        <v>7</v>
      </c>
      <c r="I60" t="n">
        <v>8</v>
      </c>
      <c r="J60" t="n">
        <v>9</v>
      </c>
      <c r="K60" t="n">
        <v>10</v>
      </c>
    </row>
    <row r="61">
      <c r="A61" t="inlineStr">
        <is>
          <t>Revenue</t>
        </is>
      </c>
      <c r="B61" t="n">
        <v>120728000</v>
      </c>
      <c r="C61" t="n">
        <v>202231567</v>
      </c>
      <c r="D61" t="n">
        <v>283562233</v>
      </c>
      <c r="E61" t="n">
        <v>635026850</v>
      </c>
      <c r="F61" t="n">
        <v>997921417</v>
      </c>
      <c r="G61" t="n">
        <v>2653680833</v>
      </c>
      <c r="H61" t="n">
        <v>4087284900</v>
      </c>
      <c r="I61" t="n">
        <v>4775169217</v>
      </c>
      <c r="J61" t="n">
        <v>5164078133</v>
      </c>
      <c r="K61" t="n">
        <v>5436926950</v>
      </c>
    </row>
    <row r="62">
      <c r="A62" t="inlineStr">
        <is>
          <t>EBITDA</t>
        </is>
      </c>
      <c r="B62" t="n">
        <v>97059000</v>
      </c>
      <c r="C62" t="n">
        <v>169431763</v>
      </c>
      <c r="D62" t="n">
        <v>246220554</v>
      </c>
      <c r="E62" t="n">
        <v>591834384</v>
      </c>
      <c r="F62" t="n">
        <v>945034730</v>
      </c>
      <c r="G62" t="n">
        <v>2590666862</v>
      </c>
      <c r="H62" t="n">
        <v>4015827972</v>
      </c>
      <c r="I62" t="n">
        <v>4702863874</v>
      </c>
      <c r="J62" t="n">
        <v>5089139843</v>
      </c>
      <c r="K62" t="n">
        <v>5362913944</v>
      </c>
    </row>
    <row r="63">
      <c r="A63" t="inlineStr">
        <is>
          <t>CAPEX</t>
        </is>
      </c>
      <c r="B63" t="n">
        <v>335000000</v>
      </c>
      <c r="C63" t="n">
        <v>55000000</v>
      </c>
      <c r="D63" t="n">
        <v>0</v>
      </c>
      <c r="E63" t="n">
        <v>145000000</v>
      </c>
      <c r="F63" t="n">
        <v>426000000</v>
      </c>
      <c r="G63" t="n">
        <v>649329190</v>
      </c>
      <c r="H63" t="n">
        <v>147500000</v>
      </c>
      <c r="I63" t="n">
        <v>0</v>
      </c>
      <c r="J63" t="n">
        <v>0</v>
      </c>
      <c r="K63" t="n">
        <v>0</v>
      </c>
    </row>
    <row r="64">
      <c r="A64" t="inlineStr">
        <is>
          <t>Depreciation</t>
        </is>
      </c>
      <c r="B64" t="n">
        <v>30008881</v>
      </c>
      <c r="C64" t="n">
        <v>37866024</v>
      </c>
      <c r="D64" t="n">
        <v>37866024</v>
      </c>
      <c r="E64" t="n">
        <v>56258881</v>
      </c>
      <c r="F64" t="n">
        <v>89166024</v>
      </c>
      <c r="G64" t="n">
        <v>144177514</v>
      </c>
      <c r="H64" t="n">
        <v>162141800</v>
      </c>
      <c r="I64" t="n">
        <v>152827514</v>
      </c>
      <c r="J64" t="n">
        <v>144970371</v>
      </c>
      <c r="K64" t="n">
        <v>144970371</v>
      </c>
    </row>
    <row r="65">
      <c r="A65" t="inlineStr">
        <is>
          <t>Debt Balance</t>
        </is>
      </c>
      <c r="B65">
        <f>FUNDING_DEBT!I57</f>
        <v/>
      </c>
      <c r="C65">
        <f>FUNDING_DEBT!I58</f>
        <v/>
      </c>
      <c r="D65">
        <f>FUNDING_DEBT!I59</f>
        <v/>
      </c>
      <c r="E65">
        <f>FUNDING_DEBT!I60</f>
        <v/>
      </c>
      <c r="F65">
        <f>FUNDING_DEBT!I61</f>
        <v/>
      </c>
      <c r="G65">
        <f>FUNDING_DEBT!I62</f>
        <v/>
      </c>
      <c r="H65">
        <f>FUNDING_DEBT!I63</f>
        <v/>
      </c>
      <c r="I65">
        <f>FUNDING_DEBT!I64</f>
        <v/>
      </c>
      <c r="J65">
        <f>FUNDING_DEBT!I65</f>
        <v/>
      </c>
      <c r="K65">
        <f>FUNDING_DEBT!I66</f>
        <v/>
      </c>
    </row>
    <row r="66">
      <c r="A66" t="inlineStr">
        <is>
          <t>Cash Balance</t>
        </is>
      </c>
      <c r="B66">
        <f>CASHFLOW!B44</f>
        <v/>
      </c>
      <c r="C66">
        <f>CASHFLOW!C44</f>
        <v/>
      </c>
      <c r="D66">
        <f>CASHFLOW!D44</f>
        <v/>
      </c>
      <c r="E66">
        <f>CASHFLOW!E44</f>
        <v/>
      </c>
      <c r="F66">
        <f>CASHFLOW!F44</f>
        <v/>
      </c>
      <c r="G66">
        <f>CASHFLOW!G44</f>
        <v/>
      </c>
      <c r="H66">
        <f>CASHFLOW!H44</f>
        <v/>
      </c>
      <c r="I66">
        <f>CASHFLOW!I44</f>
        <v/>
      </c>
      <c r="J66">
        <f>CASHFLOW!J44</f>
        <v/>
      </c>
      <c r="K66">
        <f>CASHFLOW!K44</f>
        <v/>
      </c>
    </row>
    <row r="67">
      <c r="A67" t="inlineStr">
        <is>
          <t>Feed Self-Sufficiency</t>
        </is>
      </c>
      <c r="B67">
        <f>FEED_FARM!B27</f>
        <v/>
      </c>
      <c r="C67">
        <f>FEED_FARM!C27</f>
        <v/>
      </c>
      <c r="D67">
        <f>FEED_FARM!D27</f>
        <v/>
      </c>
      <c r="E67">
        <f>FEED_FARM!E27</f>
        <v/>
      </c>
      <c r="F67">
        <f>FEED_FARM!F27</f>
        <v/>
      </c>
      <c r="G67">
        <f>FEED_FARM!G27</f>
        <v/>
      </c>
      <c r="H67">
        <f>FEED_FARM!H27</f>
        <v/>
      </c>
      <c r="I67">
        <f>FEED_FARM!I27</f>
        <v/>
      </c>
      <c r="J67">
        <f>FEED_FARM!J27</f>
        <v/>
      </c>
      <c r="K67">
        <f>FEED_FARM!K27</f>
        <v/>
      </c>
    </row>
    <row r="68">
      <c r="A68" t="inlineStr">
        <is>
          <t>Total Manure Produced</t>
        </is>
      </c>
      <c r="B68">
        <f>DAIRY!B22+FATTENING!B42</f>
        <v/>
      </c>
      <c r="C68">
        <f>DAIRY!C22+FATTENING!C42</f>
        <v/>
      </c>
      <c r="D68">
        <f>DAIRY!D22+FATTENING!D42</f>
        <v/>
      </c>
      <c r="E68">
        <f>DAIRY!E22+FATTENING!E42</f>
        <v/>
      </c>
      <c r="F68">
        <f>DAIRY!F22+FATTENING!F42</f>
        <v/>
      </c>
      <c r="G68">
        <f>DAIRY!G22+FATTENING!G42</f>
        <v/>
      </c>
      <c r="H68">
        <f>DAIRY!H22+FATTENING!H42</f>
        <v/>
      </c>
      <c r="I68">
        <f>DAIRY!I22+FATTENING!I42</f>
        <v/>
      </c>
      <c r="J68">
        <f>DAIRY!J22+FATTENING!J42</f>
        <v/>
      </c>
      <c r="K68">
        <f>DAIRY!K22+FATTENING!K42</f>
        <v/>
      </c>
    </row>
    <row r="69">
      <c r="A69" t="inlineStr">
        <is>
          <t>Net Operating Savings</t>
        </is>
      </c>
      <c r="B69">
        <f>OPEX!B39</f>
        <v/>
      </c>
      <c r="C69">
        <f>OPEX!C39</f>
        <v/>
      </c>
      <c r="D69">
        <f>OPEX!D39</f>
        <v/>
      </c>
      <c r="E69">
        <f>OPEX!E39</f>
        <v/>
      </c>
      <c r="F69">
        <f>OPEX!F39</f>
        <v/>
      </c>
      <c r="G69">
        <f>OPEX!G39</f>
        <v/>
      </c>
      <c r="H69">
        <f>OPEX!H39</f>
        <v/>
      </c>
      <c r="I69">
        <f>OPEX!I39</f>
        <v/>
      </c>
      <c r="J69">
        <f>OPEX!J39</f>
        <v/>
      </c>
      <c r="K69">
        <f>OPEX!K39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3">
    <mergeCell ref="A23:D25"/>
    <mergeCell ref="A2:H2"/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Y152"/>
  <sheetViews>
    <sheetView showGridLines="0" tabSelected="1" topLeftCell="A1" zoomScaleNormal="100" workbookViewId="0">
      <pane xSplit="1" ySplit="3" topLeftCell="B76" activePane="bottomRight" state="frozen"/>
      <selection pane="topRight" activeCell="B1" sqref="B1"/>
      <selection pane="bottomLeft" activeCell="A17" sqref="A17"/>
      <selection pane="bottomRight" activeCell="D117" sqref="D117"/>
    </sheetView>
  </sheetViews>
  <sheetFormatPr baseColWidth="10" defaultColWidth="8.83203125" defaultRowHeight="15"/>
  <cols>
    <col width="30" customWidth="1" style="239" min="1" max="1"/>
    <col width="16" customWidth="1" style="239" min="2" max="3"/>
    <col width="18" customWidth="1" style="239" min="4" max="4"/>
    <col width="24" customWidth="1" style="239" min="5" max="5"/>
    <col width="44" customWidth="1" style="239" min="6" max="6"/>
    <col width="24" customWidth="1" style="239" min="7" max="7"/>
    <col width="18" customWidth="1" style="239" min="8" max="8"/>
    <col width="24" customWidth="1" style="239" min="9" max="9"/>
    <col width="14" customWidth="1" style="239" min="10" max="11"/>
    <col width="18" customWidth="1" style="239" min="12" max="12"/>
  </cols>
  <sheetData>
    <row r="1" ht="21" customHeight="1" s="239">
      <c r="A1" s="253" t="inlineStr">
        <is>
          <t>BOA Integrated Assumptions Hub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1" t="n"/>
      <c r="M1" s="265" t="inlineStr">
        <is>
          <t>TIMELINE_ENGINE</t>
        </is>
      </c>
      <c r="P1" s="395" t="n">
        <v>1</v>
      </c>
      <c r="Q1" s="395" t="n">
        <v>2</v>
      </c>
      <c r="R1" s="395" t="n">
        <v>3</v>
      </c>
      <c r="S1" s="395" t="n">
        <v>4</v>
      </c>
      <c r="T1" s="395" t="n">
        <v>5</v>
      </c>
      <c r="U1" s="395" t="n">
        <v>6</v>
      </c>
      <c r="V1" s="395" t="n">
        <v>7</v>
      </c>
      <c r="W1" s="395" t="n">
        <v>8</v>
      </c>
      <c r="X1" s="395" t="n">
        <v>9</v>
      </c>
      <c r="Y1" s="395" t="n">
        <v>10</v>
      </c>
      <c r="Z1" s="395" t="n">
        <v>11</v>
      </c>
      <c r="AA1" s="395" t="n">
        <v>12</v>
      </c>
      <c r="AB1" s="395" t="n">
        <v>13</v>
      </c>
      <c r="AC1" s="395" t="n">
        <v>14</v>
      </c>
      <c r="AD1" s="395" t="n">
        <v>15</v>
      </c>
      <c r="AE1" s="395" t="n">
        <v>16</v>
      </c>
      <c r="AF1" s="395" t="n">
        <v>17</v>
      </c>
      <c r="AG1" s="395" t="n">
        <v>18</v>
      </c>
      <c r="AH1" s="395" t="n">
        <v>19</v>
      </c>
      <c r="AI1" s="395" t="n">
        <v>20</v>
      </c>
      <c r="AJ1" s="395" t="n">
        <v>21</v>
      </c>
      <c r="AK1" s="395" t="n">
        <v>22</v>
      </c>
      <c r="AL1" s="395" t="n">
        <v>23</v>
      </c>
      <c r="AM1" s="395" t="n">
        <v>24</v>
      </c>
      <c r="AN1" s="395" t="n">
        <v>25</v>
      </c>
      <c r="AO1" s="395" t="n">
        <v>26</v>
      </c>
      <c r="AP1" s="395" t="n">
        <v>27</v>
      </c>
      <c r="AQ1" s="395" t="n">
        <v>28</v>
      </c>
      <c r="AR1" s="395" t="n">
        <v>29</v>
      </c>
      <c r="AS1" s="395" t="n">
        <v>30</v>
      </c>
      <c r="AT1" s="395" t="n">
        <v>31</v>
      </c>
      <c r="AU1" s="395" t="n">
        <v>32</v>
      </c>
      <c r="AV1" s="395" t="n">
        <v>33</v>
      </c>
      <c r="AW1" s="395" t="n">
        <v>34</v>
      </c>
      <c r="AX1" s="395" t="n">
        <v>35</v>
      </c>
      <c r="AY1" s="395" t="n">
        <v>36</v>
      </c>
    </row>
    <row r="2" ht="64" customHeight="1" s="239">
      <c r="A2" s="241" t="inlineStr">
        <is>
          <t>Single source for financing, herd, feed farm, dairy, fattening, logistics, input costs, transfer pricing, and working capital assumptions.</t>
        </is>
      </c>
      <c r="B2" s="241" t="n"/>
      <c r="C2" s="241" t="n"/>
      <c r="D2" s="241" t="n"/>
      <c r="E2" s="241" t="n"/>
      <c r="F2" s="241" t="n"/>
      <c r="G2" s="241" t="n"/>
      <c r="H2" s="241" t="n"/>
      <c r="I2" s="241" t="n"/>
      <c r="J2" s="241" t="n"/>
      <c r="K2" s="241" t="n"/>
      <c r="M2" s="393" t="inlineStr">
        <is>
          <t>Financial Close Date</t>
        </is>
      </c>
      <c r="N2" s="267">
        <f>DATE(2026,9,1)</f>
        <v/>
      </c>
      <c r="P2">
        <f>ROUNDUP(P$1/3,0)</f>
        <v/>
      </c>
      <c r="Q2">
        <f>ROUNDUP(Q$1/3,0)</f>
        <v/>
      </c>
      <c r="R2">
        <f>ROUNDUP(R$1/3,0)</f>
        <v/>
      </c>
      <c r="S2">
        <f>ROUNDUP(S$1/3,0)</f>
        <v/>
      </c>
      <c r="T2">
        <f>ROUNDUP(T$1/3,0)</f>
        <v/>
      </c>
      <c r="U2">
        <f>ROUNDUP(U$1/3,0)</f>
        <v/>
      </c>
      <c r="V2">
        <f>ROUNDUP(V$1/3,0)</f>
        <v/>
      </c>
      <c r="W2">
        <f>ROUNDUP(W$1/3,0)</f>
        <v/>
      </c>
      <c r="X2">
        <f>ROUNDUP(X$1/3,0)</f>
        <v/>
      </c>
      <c r="Y2">
        <f>ROUNDUP(Y$1/3,0)</f>
        <v/>
      </c>
      <c r="Z2">
        <f>ROUNDUP(Z$1/3,0)</f>
        <v/>
      </c>
      <c r="AA2">
        <f>ROUNDUP(AA$1/3,0)</f>
        <v/>
      </c>
      <c r="AB2">
        <f>ROUNDUP(AB$1/3,0)</f>
        <v/>
      </c>
      <c r="AC2">
        <f>ROUNDUP(AC$1/3,0)</f>
        <v/>
      </c>
      <c r="AD2">
        <f>ROUNDUP(AD$1/3,0)</f>
        <v/>
      </c>
      <c r="AE2">
        <f>ROUNDUP(AE$1/3,0)</f>
        <v/>
      </c>
      <c r="AF2">
        <f>ROUNDUP(AF$1/3,0)</f>
        <v/>
      </c>
      <c r="AG2">
        <f>ROUNDUP(AG$1/3,0)</f>
        <v/>
      </c>
      <c r="AH2">
        <f>ROUNDUP(AH$1/3,0)</f>
        <v/>
      </c>
      <c r="AI2">
        <f>ROUNDUP(AI$1/3,0)</f>
        <v/>
      </c>
      <c r="AJ2">
        <f>ROUNDUP(AJ$1/3,0)</f>
        <v/>
      </c>
      <c r="AK2">
        <f>ROUNDUP(AK$1/3,0)</f>
        <v/>
      </c>
      <c r="AL2">
        <f>ROUNDUP(AL$1/3,0)</f>
        <v/>
      </c>
      <c r="AM2">
        <f>ROUNDUP(AM$1/3,0)</f>
        <v/>
      </c>
      <c r="AN2">
        <f>ROUNDUP(AN$1/3,0)</f>
        <v/>
      </c>
      <c r="AO2">
        <f>ROUNDUP(AO$1/3,0)</f>
        <v/>
      </c>
      <c r="AP2">
        <f>ROUNDUP(AP$1/3,0)</f>
        <v/>
      </c>
      <c r="AQ2">
        <f>ROUNDUP(AQ$1/3,0)</f>
        <v/>
      </c>
      <c r="AR2">
        <f>ROUNDUP(AR$1/3,0)</f>
        <v/>
      </c>
      <c r="AS2">
        <f>ROUNDUP(AS$1/3,0)</f>
        <v/>
      </c>
      <c r="AT2">
        <f>ROUNDUP(AT$1/3,0)</f>
        <v/>
      </c>
      <c r="AU2">
        <f>ROUNDUP(AU$1/3,0)</f>
        <v/>
      </c>
      <c r="AV2">
        <f>ROUNDUP(AV$1/3,0)</f>
        <v/>
      </c>
      <c r="AW2">
        <f>ROUNDUP(AW$1/3,0)</f>
        <v/>
      </c>
      <c r="AX2">
        <f>ROUNDUP(AX$1/3,0)</f>
        <v/>
      </c>
      <c r="AY2">
        <f>ROUNDUP(AY$1/3,0)</f>
        <v/>
      </c>
    </row>
    <row r="3" ht="15" customFormat="1" customHeight="1" s="20">
      <c r="A3" s="144" t="inlineStr">
        <is>
          <t>Input</t>
        </is>
      </c>
      <c r="B3" s="144" t="inlineStr">
        <is>
          <t>Value</t>
        </is>
      </c>
      <c r="C3" s="144" t="inlineStr">
        <is>
          <t>Comment</t>
        </is>
      </c>
      <c r="D3" s="241" t="n"/>
      <c r="E3" s="145" t="inlineStr">
        <is>
          <t>LOCKED VERSION: editable cells are highlighted in yellow.</t>
        </is>
      </c>
      <c r="F3" s="241" t="n"/>
      <c r="G3" s="241" t="n"/>
      <c r="H3" s="241" t="n"/>
      <c r="I3" s="241" t="n"/>
      <c r="J3" s="241" t="n"/>
      <c r="K3" s="241" t="n"/>
      <c r="M3" s="393" t="inlineStr">
        <is>
          <t>Debt Draw Date</t>
        </is>
      </c>
      <c r="N3" s="266">
        <f>N2</f>
        <v/>
      </c>
      <c r="P3">
        <f>YEAR(EDATE($N$2,P$1-1))</f>
        <v/>
      </c>
      <c r="Q3">
        <f>YEAR(EDATE($N$2,Q$1-1))</f>
        <v/>
      </c>
      <c r="R3">
        <f>YEAR(EDATE($N$2,R$1-1))</f>
        <v/>
      </c>
      <c r="S3">
        <f>YEAR(EDATE($N$2,S$1-1))</f>
        <v/>
      </c>
      <c r="T3">
        <f>YEAR(EDATE($N$2,T$1-1))</f>
        <v/>
      </c>
      <c r="U3">
        <f>YEAR(EDATE($N$2,U$1-1))</f>
        <v/>
      </c>
      <c r="V3">
        <f>YEAR(EDATE($N$2,V$1-1))</f>
        <v/>
      </c>
      <c r="W3">
        <f>YEAR(EDATE($N$2,W$1-1))</f>
        <v/>
      </c>
      <c r="X3">
        <f>YEAR(EDATE($N$2,X$1-1))</f>
        <v/>
      </c>
      <c r="Y3">
        <f>YEAR(EDATE($N$2,Y$1-1))</f>
        <v/>
      </c>
      <c r="Z3">
        <f>YEAR(EDATE($N$2,Z$1-1))</f>
        <v/>
      </c>
      <c r="AA3">
        <f>YEAR(EDATE($N$2,AA$1-1))</f>
        <v/>
      </c>
      <c r="AB3">
        <f>YEAR(EDATE($N$2,AB$1-1))</f>
        <v/>
      </c>
      <c r="AC3">
        <f>YEAR(EDATE($N$2,AC$1-1))</f>
        <v/>
      </c>
      <c r="AD3">
        <f>YEAR(EDATE($N$2,AD$1-1))</f>
        <v/>
      </c>
      <c r="AE3">
        <f>YEAR(EDATE($N$2,AE$1-1))</f>
        <v/>
      </c>
      <c r="AF3">
        <f>YEAR(EDATE($N$2,AF$1-1))</f>
        <v/>
      </c>
      <c r="AG3">
        <f>YEAR(EDATE($N$2,AG$1-1))</f>
        <v/>
      </c>
      <c r="AH3">
        <f>YEAR(EDATE($N$2,AH$1-1))</f>
        <v/>
      </c>
      <c r="AI3">
        <f>YEAR(EDATE($N$2,AI$1-1))</f>
        <v/>
      </c>
      <c r="AJ3">
        <f>YEAR(EDATE($N$2,AJ$1-1))</f>
        <v/>
      </c>
      <c r="AK3">
        <f>YEAR(EDATE($N$2,AK$1-1))</f>
        <v/>
      </c>
      <c r="AL3">
        <f>YEAR(EDATE($N$2,AL$1-1))</f>
        <v/>
      </c>
      <c r="AM3">
        <f>YEAR(EDATE($N$2,AM$1-1))</f>
        <v/>
      </c>
      <c r="AN3">
        <f>YEAR(EDATE($N$2,AN$1-1))</f>
        <v/>
      </c>
      <c r="AO3">
        <f>YEAR(EDATE($N$2,AO$1-1))</f>
        <v/>
      </c>
      <c r="AP3">
        <f>YEAR(EDATE($N$2,AP$1-1))</f>
        <v/>
      </c>
      <c r="AQ3">
        <f>YEAR(EDATE($N$2,AQ$1-1))</f>
        <v/>
      </c>
      <c r="AR3">
        <f>YEAR(EDATE($N$2,AR$1-1))</f>
        <v/>
      </c>
      <c r="AS3">
        <f>YEAR(EDATE($N$2,AS$1-1))</f>
        <v/>
      </c>
      <c r="AT3">
        <f>YEAR(EDATE($N$2,AT$1-1))</f>
        <v/>
      </c>
      <c r="AU3">
        <f>YEAR(EDATE($N$2,AU$1-1))</f>
        <v/>
      </c>
      <c r="AV3">
        <f>YEAR(EDATE($N$2,AV$1-1))</f>
        <v/>
      </c>
      <c r="AW3">
        <f>YEAR(EDATE($N$2,AW$1-1))</f>
        <v/>
      </c>
      <c r="AX3">
        <f>YEAR(EDATE($N$2,AX$1-1))</f>
        <v/>
      </c>
      <c r="AY3">
        <f>YEAR(EDATE($N$2,AY$1-1))</f>
        <v/>
      </c>
    </row>
    <row r="4" ht="82" customHeight="1" s="239">
      <c r="A4" s="146" t="inlineStr">
        <is>
          <t>ModelYears</t>
        </is>
      </c>
      <c r="B4" s="217" t="n">
        <v>10</v>
      </c>
      <c r="C4" s="241" t="n"/>
      <c r="D4" s="241" t="n"/>
      <c r="E4" s="147" t="inlineStr">
        <is>
          <t>Editable: Phase1Debt B5, Milk/Beef/Manure prices rows 40-42, Crop yield price row 44.</t>
        </is>
      </c>
      <c r="F4" s="241" t="n"/>
      <c r="G4" s="241" t="n"/>
      <c r="H4" s="241" t="n"/>
      <c r="I4" s="241" t="n"/>
      <c r="J4" s="241" t="n"/>
      <c r="K4" s="241" t="n"/>
      <c r="M4" s="393" t="inlineStr">
        <is>
          <t>Construction Start Date</t>
        </is>
      </c>
      <c r="N4" s="266">
        <f>N2</f>
        <v/>
      </c>
      <c r="P4">
        <f>ROUNDUP(P$1/12,0)</f>
        <v/>
      </c>
      <c r="Q4">
        <f>ROUNDUP(Q$1/12,0)</f>
        <v/>
      </c>
      <c r="R4">
        <f>ROUNDUP(R$1/12,0)</f>
        <v/>
      </c>
      <c r="S4">
        <f>ROUNDUP(S$1/12,0)</f>
        <v/>
      </c>
      <c r="T4">
        <f>ROUNDUP(T$1/12,0)</f>
        <v/>
      </c>
      <c r="U4">
        <f>ROUNDUP(U$1/12,0)</f>
        <v/>
      </c>
      <c r="V4">
        <f>ROUNDUP(V$1/12,0)</f>
        <v/>
      </c>
      <c r="W4">
        <f>ROUNDUP(W$1/12,0)</f>
        <v/>
      </c>
      <c r="X4">
        <f>ROUNDUP(X$1/12,0)</f>
        <v/>
      </c>
      <c r="Y4">
        <f>ROUNDUP(Y$1/12,0)</f>
        <v/>
      </c>
      <c r="Z4">
        <f>ROUNDUP(Z$1/12,0)</f>
        <v/>
      </c>
      <c r="AA4">
        <f>ROUNDUP(AA$1/12,0)</f>
        <v/>
      </c>
      <c r="AB4">
        <f>ROUNDUP(AB$1/12,0)</f>
        <v/>
      </c>
      <c r="AC4">
        <f>ROUNDUP(AC$1/12,0)</f>
        <v/>
      </c>
      <c r="AD4">
        <f>ROUNDUP(AD$1/12,0)</f>
        <v/>
      </c>
      <c r="AE4">
        <f>ROUNDUP(AE$1/12,0)</f>
        <v/>
      </c>
      <c r="AF4">
        <f>ROUNDUP(AF$1/12,0)</f>
        <v/>
      </c>
      <c r="AG4">
        <f>ROUNDUP(AG$1/12,0)</f>
        <v/>
      </c>
      <c r="AH4">
        <f>ROUNDUP(AH$1/12,0)</f>
        <v/>
      </c>
      <c r="AI4">
        <f>ROUNDUP(AI$1/12,0)</f>
        <v/>
      </c>
      <c r="AJ4">
        <f>ROUNDUP(AJ$1/12,0)</f>
        <v/>
      </c>
      <c r="AK4">
        <f>ROUNDUP(AK$1/12,0)</f>
        <v/>
      </c>
      <c r="AL4">
        <f>ROUNDUP(AL$1/12,0)</f>
        <v/>
      </c>
      <c r="AM4">
        <f>ROUNDUP(AM$1/12,0)</f>
        <v/>
      </c>
      <c r="AN4">
        <f>ROUNDUP(AN$1/12,0)</f>
        <v/>
      </c>
      <c r="AO4">
        <f>ROUNDUP(AO$1/12,0)</f>
        <v/>
      </c>
      <c r="AP4">
        <f>ROUNDUP(AP$1/12,0)</f>
        <v/>
      </c>
      <c r="AQ4">
        <f>ROUNDUP(AQ$1/12,0)</f>
        <v/>
      </c>
      <c r="AR4">
        <f>ROUNDUP(AR$1/12,0)</f>
        <v/>
      </c>
      <c r="AS4">
        <f>ROUNDUP(AS$1/12,0)</f>
        <v/>
      </c>
      <c r="AT4">
        <f>ROUNDUP(AT$1/12,0)</f>
        <v/>
      </c>
      <c r="AU4">
        <f>ROUNDUP(AU$1/12,0)</f>
        <v/>
      </c>
      <c r="AV4">
        <f>ROUNDUP(AV$1/12,0)</f>
        <v/>
      </c>
      <c r="AW4">
        <f>ROUNDUP(AW$1/12,0)</f>
        <v/>
      </c>
      <c r="AX4">
        <f>ROUNDUP(AX$1/12,0)</f>
        <v/>
      </c>
      <c r="AY4">
        <f>ROUNDUP(AY$1/12,0)</f>
        <v/>
      </c>
    </row>
    <row r="5" ht="15" customHeight="1" s="239">
      <c r="A5" s="146" t="inlineStr">
        <is>
          <t>Phase1Debt</t>
        </is>
      </c>
      <c r="B5" s="237" t="n">
        <v>275000000</v>
      </c>
      <c r="C5" s="241" t="n"/>
      <c r="D5" s="241" t="n"/>
      <c r="E5" s="241" t="n"/>
      <c r="F5" s="241" t="n"/>
      <c r="G5" s="241" t="n"/>
      <c r="H5" s="241" t="n"/>
      <c r="I5" s="241" t="n"/>
      <c r="J5" s="241" t="n"/>
      <c r="K5" s="241" t="n"/>
      <c r="M5" s="393" t="inlineStr">
        <is>
          <t>Feedlot Start Date</t>
        </is>
      </c>
      <c r="N5" s="266">
        <f>EDATE(N2,2)</f>
        <v/>
      </c>
      <c r="P5">
        <f>IF(EDATE($N$2,P$1-1)&lt;$N$8,0,ROUNDUP((P$1-24)/12,0))</f>
        <v/>
      </c>
      <c r="Q5">
        <f>IF(EDATE($N$2,Q$1-1)&lt;$N$8,0,ROUNDUP((Q$1-24)/12,0))</f>
        <v/>
      </c>
      <c r="R5">
        <f>IF(EDATE($N$2,R$1-1)&lt;$N$8,0,ROUNDUP((R$1-24)/12,0))</f>
        <v/>
      </c>
      <c r="S5">
        <f>IF(EDATE($N$2,S$1-1)&lt;$N$8,0,ROUNDUP((S$1-24)/12,0))</f>
        <v/>
      </c>
      <c r="T5">
        <f>IF(EDATE($N$2,T$1-1)&lt;$N$8,0,ROUNDUP((T$1-24)/12,0))</f>
        <v/>
      </c>
      <c r="U5">
        <f>IF(EDATE($N$2,U$1-1)&lt;$N$8,0,ROUNDUP((U$1-24)/12,0))</f>
        <v/>
      </c>
      <c r="V5">
        <f>IF(EDATE($N$2,V$1-1)&lt;$N$8,0,ROUNDUP((V$1-24)/12,0))</f>
        <v/>
      </c>
      <c r="W5">
        <f>IF(EDATE($N$2,W$1-1)&lt;$N$8,0,ROUNDUP((W$1-24)/12,0))</f>
        <v/>
      </c>
      <c r="X5">
        <f>IF(EDATE($N$2,X$1-1)&lt;$N$8,0,ROUNDUP((X$1-24)/12,0))</f>
        <v/>
      </c>
      <c r="Y5">
        <f>IF(EDATE($N$2,Y$1-1)&lt;$N$8,0,ROUNDUP((Y$1-24)/12,0))</f>
        <v/>
      </c>
      <c r="Z5">
        <f>IF(EDATE($N$2,Z$1-1)&lt;$N$8,0,ROUNDUP((Z$1-24)/12,0))</f>
        <v/>
      </c>
      <c r="AA5">
        <f>IF(EDATE($N$2,AA$1-1)&lt;$N$8,0,ROUNDUP((AA$1-24)/12,0))</f>
        <v/>
      </c>
      <c r="AB5">
        <f>IF(EDATE($N$2,AB$1-1)&lt;$N$8,0,ROUNDUP((AB$1-24)/12,0))</f>
        <v/>
      </c>
      <c r="AC5">
        <f>IF(EDATE($N$2,AC$1-1)&lt;$N$8,0,ROUNDUP((AC$1-24)/12,0))</f>
        <v/>
      </c>
      <c r="AD5">
        <f>IF(EDATE($N$2,AD$1-1)&lt;$N$8,0,ROUNDUP((AD$1-24)/12,0))</f>
        <v/>
      </c>
      <c r="AE5">
        <f>IF(EDATE($N$2,AE$1-1)&lt;$N$8,0,ROUNDUP((AE$1-24)/12,0))</f>
        <v/>
      </c>
      <c r="AF5">
        <f>IF(EDATE($N$2,AF$1-1)&lt;$N$8,0,ROUNDUP((AF$1-24)/12,0))</f>
        <v/>
      </c>
      <c r="AG5">
        <f>IF(EDATE($N$2,AG$1-1)&lt;$N$8,0,ROUNDUP((AG$1-24)/12,0))</f>
        <v/>
      </c>
      <c r="AH5">
        <f>IF(EDATE($N$2,AH$1-1)&lt;$N$8,0,ROUNDUP((AH$1-24)/12,0))</f>
        <v/>
      </c>
      <c r="AI5">
        <f>IF(EDATE($N$2,AI$1-1)&lt;$N$8,0,ROUNDUP((AI$1-24)/12,0))</f>
        <v/>
      </c>
      <c r="AJ5">
        <f>IF(EDATE($N$2,AJ$1-1)&lt;$N$8,0,ROUNDUP((AJ$1-24)/12,0))</f>
        <v/>
      </c>
      <c r="AK5">
        <f>IF(EDATE($N$2,AK$1-1)&lt;$N$8,0,ROUNDUP((AK$1-24)/12,0))</f>
        <v/>
      </c>
      <c r="AL5">
        <f>IF(EDATE($N$2,AL$1-1)&lt;$N$8,0,ROUNDUP((AL$1-24)/12,0))</f>
        <v/>
      </c>
      <c r="AM5">
        <f>IF(EDATE($N$2,AM$1-1)&lt;$N$8,0,ROUNDUP((AM$1-24)/12,0))</f>
        <v/>
      </c>
      <c r="AN5">
        <f>IF(EDATE($N$2,AN$1-1)&lt;$N$8,0,ROUNDUP((AN$1-24)/12,0))</f>
        <v/>
      </c>
      <c r="AO5">
        <f>IF(EDATE($N$2,AO$1-1)&lt;$N$8,0,ROUNDUP((AO$1-24)/12,0))</f>
        <v/>
      </c>
      <c r="AP5">
        <f>IF(EDATE($N$2,AP$1-1)&lt;$N$8,0,ROUNDUP((AP$1-24)/12,0))</f>
        <v/>
      </c>
      <c r="AQ5">
        <f>IF(EDATE($N$2,AQ$1-1)&lt;$N$8,0,ROUNDUP((AQ$1-24)/12,0))</f>
        <v/>
      </c>
      <c r="AR5">
        <f>IF(EDATE($N$2,AR$1-1)&lt;$N$8,0,ROUNDUP((AR$1-24)/12,0))</f>
        <v/>
      </c>
      <c r="AS5">
        <f>IF(EDATE($N$2,AS$1-1)&lt;$N$8,0,ROUNDUP((AS$1-24)/12,0))</f>
        <v/>
      </c>
      <c r="AT5">
        <f>IF(EDATE($N$2,AT$1-1)&lt;$N$8,0,ROUNDUP((AT$1-24)/12,0))</f>
        <v/>
      </c>
      <c r="AU5">
        <f>IF(EDATE($N$2,AU$1-1)&lt;$N$8,0,ROUNDUP((AU$1-24)/12,0))</f>
        <v/>
      </c>
      <c r="AV5">
        <f>IF(EDATE($N$2,AV$1-1)&lt;$N$8,0,ROUNDUP((AV$1-24)/12,0))</f>
        <v/>
      </c>
      <c r="AW5">
        <f>IF(EDATE($N$2,AW$1-1)&lt;$N$8,0,ROUNDUP((AW$1-24)/12,0))</f>
        <v/>
      </c>
      <c r="AX5">
        <f>IF(EDATE($N$2,AX$1-1)&lt;$N$8,0,ROUNDUP((AX$1-24)/12,0))</f>
        <v/>
      </c>
      <c r="AY5">
        <f>IF(EDATE($N$2,AY$1-1)&lt;$N$8,0,ROUNDUP((AY$1-24)/12,0))</f>
        <v/>
      </c>
    </row>
    <row r="6" ht="15" customHeight="1" s="239">
      <c r="A6" s="146" t="inlineStr">
        <is>
          <t>LoanRate</t>
        </is>
      </c>
      <c r="B6" s="217" t="n">
        <v>0.09</v>
      </c>
      <c r="C6" s="148" t="inlineStr">
        <is>
          <t>interest capitallized years 1-2</t>
        </is>
      </c>
      <c r="D6" s="241" t="n"/>
      <c r="E6" s="241" t="n"/>
      <c r="F6" s="241" t="n"/>
      <c r="G6" s="241" t="n"/>
      <c r="H6" s="241" t="n"/>
      <c r="I6" s="241" t="n"/>
      <c r="J6" s="241" t="n"/>
      <c r="K6" s="241" t="n"/>
      <c r="M6" s="393" t="inlineStr">
        <is>
          <t>Dairy Start Date</t>
        </is>
      </c>
      <c r="N6" s="266">
        <f>EDATE(N2,12)</f>
        <v/>
      </c>
    </row>
    <row r="7" ht="15" customHeight="1" s="239">
      <c r="A7" s="146" t="inlineStr">
        <is>
          <t>TenorYears</t>
        </is>
      </c>
      <c r="B7" s="217" t="n">
        <v>7</v>
      </c>
      <c r="C7" s="241" t="n"/>
      <c r="D7" s="241" t="n"/>
      <c r="E7" s="241" t="n"/>
      <c r="F7" s="241" t="n"/>
      <c r="G7" s="241" t="n"/>
      <c r="H7" s="241" t="n"/>
      <c r="I7" s="241" t="n"/>
      <c r="J7" s="241" t="n"/>
      <c r="K7" s="241" t="n"/>
      <c r="M7" s="393" t="inlineStr">
        <is>
          <t>Processing Start Date</t>
        </is>
      </c>
      <c r="N7" s="266">
        <f>MAX(EDATE(N2,60),DATE(YEAR(N2)+MATCH(TRUE,DAIRY!B4:K4&gt;500000,0)-1,1,1))</f>
        <v/>
      </c>
    </row>
    <row r="8" ht="15" customHeight="1" s="239">
      <c r="A8" s="146" t="inlineStr">
        <is>
          <t>MoratoriumYears</t>
        </is>
      </c>
      <c r="B8" s="217" t="n">
        <v>2</v>
      </c>
      <c r="C8" s="241" t="n"/>
      <c r="D8" s="241" t="n"/>
      <c r="E8" s="241" t="n"/>
      <c r="F8" s="241" t="n"/>
      <c r="G8" s="241" t="n"/>
      <c r="H8" s="241" t="n"/>
      <c r="I8" s="241" t="n"/>
      <c r="J8" s="241" t="n"/>
      <c r="K8" s="241" t="n"/>
      <c r="M8" s="393" t="inlineStr">
        <is>
          <t>Debt Repayment Start Date</t>
        </is>
      </c>
      <c r="N8" s="266">
        <f>EDATE(N3,24)</f>
        <v/>
      </c>
    </row>
    <row r="9" ht="15" customHeight="1" s="239">
      <c r="A9" s="146" t="inlineStr">
        <is>
          <t>TaxRate</t>
        </is>
      </c>
      <c r="B9" s="217" t="n">
        <v>0.3</v>
      </c>
      <c r="C9" s="241" t="n"/>
      <c r="D9" s="241" t="n"/>
      <c r="E9" s="241" t="n"/>
      <c r="F9" s="241" t="n"/>
      <c r="G9" s="241" t="n"/>
      <c r="H9" s="241" t="n"/>
      <c r="I9" s="241" t="n"/>
      <c r="J9" s="241" t="n"/>
      <c r="K9" s="241" t="n"/>
      <c r="M9" s="393" t="inlineStr">
        <is>
          <t>DSRA Enabled</t>
        </is>
      </c>
      <c r="N9" s="267" t="inlineStr">
        <is>
          <t>Disabled</t>
        </is>
      </c>
    </row>
    <row r="10" ht="15" customHeight="1" s="239">
      <c r="A10" s="146" t="inlineStr">
        <is>
          <t>SponsorEquity_Land_120_Acres</t>
        </is>
      </c>
      <c r="B10" s="217" t="n">
        <v>60000000</v>
      </c>
      <c r="C10" s="241" t="inlineStr">
        <is>
          <t>Non-cash equity</t>
        </is>
      </c>
      <c r="D10" s="241" t="n"/>
      <c r="E10" s="241" t="n"/>
      <c r="F10" s="241" t="n"/>
      <c r="G10" s="241" t="n"/>
      <c r="H10" s="241" t="n"/>
      <c r="I10" s="241" t="n"/>
      <c r="J10" s="241" t="n"/>
      <c r="K10" s="241" t="n"/>
      <c r="M10" s="393" t="inlineStr">
        <is>
          <t>DSRA Months</t>
        </is>
      </c>
      <c r="N10" s="267" t="n">
        <v>6</v>
      </c>
    </row>
    <row r="11" ht="15" customHeight="1" s="239">
      <c r="A11" s="146" t="inlineStr">
        <is>
          <t>SponsorEquityYr1_Cash</t>
        </is>
      </c>
      <c r="B11" s="217" t="n">
        <v>0</v>
      </c>
      <c r="C11" s="241" t="n"/>
      <c r="D11" s="241" t="n"/>
      <c r="E11" s="241" t="n"/>
      <c r="F11" s="241" t="n"/>
      <c r="G11" s="241" t="n"/>
      <c r="H11" s="241" t="n"/>
      <c r="I11" s="241" t="n"/>
      <c r="J11" s="241" t="n"/>
      <c r="K11" s="241" t="n"/>
      <c r="M11" s="393" t="inlineStr">
        <is>
          <t>Minimum Cash Reserve</t>
        </is>
      </c>
      <c r="N11" s="267" t="n">
        <v>10000000</v>
      </c>
    </row>
    <row r="12" ht="15" customHeight="1" s="239">
      <c r="A12" s="146" t="inlineStr">
        <is>
          <t>SponsorEquityYr2_Cash</t>
        </is>
      </c>
      <c r="B12" s="217" t="n">
        <v>0</v>
      </c>
      <c r="C12" s="241" t="n"/>
      <c r="D12" s="241" t="n"/>
      <c r="E12" s="241" t="n"/>
      <c r="F12" s="241" t="n"/>
      <c r="G12" s="241" t="n"/>
      <c r="H12" s="241" t="n"/>
      <c r="I12" s="241" t="n"/>
      <c r="J12" s="241" t="n"/>
      <c r="K12" s="241" t="n"/>
      <c r="M12" s="393" t="inlineStr">
        <is>
          <t>Feed Farm Manure Allocation</t>
        </is>
      </c>
      <c r="N12" s="267" t="n">
        <v>0.2</v>
      </c>
    </row>
    <row r="13" ht="15" customHeight="1" s="239">
      <c r="A13" s="146" t="inlineStr">
        <is>
          <t>AR_Days</t>
        </is>
      </c>
      <c r="B13" s="217" t="n">
        <v>45</v>
      </c>
      <c r="C13" s="241" t="n"/>
      <c r="D13" s="241" t="n"/>
      <c r="E13" s="241" t="n"/>
      <c r="F13" s="241" t="n"/>
      <c r="G13" s="241" t="n"/>
      <c r="H13" s="241" t="n"/>
      <c r="I13" s="241" t="n"/>
      <c r="J13" s="241" t="n"/>
      <c r="K13" s="241" t="n"/>
      <c r="M13" s="393" t="inlineStr">
        <is>
          <t>Biogas Annual Capacity Bags</t>
        </is>
      </c>
      <c r="N13" s="267" t="n">
        <v>20000</v>
      </c>
    </row>
    <row r="14" ht="15" customHeight="1" s="239">
      <c r="A14" s="146" t="inlineStr">
        <is>
          <t>Inv_Days</t>
        </is>
      </c>
      <c r="B14" s="217" t="n">
        <v>90</v>
      </c>
      <c r="C14" s="241" t="n"/>
      <c r="D14" s="241" t="n"/>
      <c r="E14" s="241" t="n"/>
      <c r="F14" s="241" t="n"/>
      <c r="G14" s="241" t="n"/>
      <c r="H14" s="241" t="n"/>
      <c r="I14" s="241" t="n"/>
      <c r="J14" s="241" t="n"/>
      <c r="K14" s="241" t="n"/>
      <c r="M14" s="393" t="inlineStr">
        <is>
          <t>Manure Transfer Price</t>
        </is>
      </c>
      <c r="N14" s="267" t="n">
        <v>100</v>
      </c>
    </row>
    <row r="15" ht="15" customHeight="1" s="239">
      <c r="A15" s="146" t="inlineStr">
        <is>
          <t>AP_Days</t>
        </is>
      </c>
      <c r="B15" s="217" t="n">
        <v>45</v>
      </c>
      <c r="C15" s="241" t="n"/>
      <c r="D15" s="241" t="n"/>
      <c r="E15" s="241" t="n"/>
      <c r="F15" s="241" t="n"/>
      <c r="G15" s="241" t="n"/>
      <c r="H15" s="241" t="n"/>
      <c r="I15" s="241" t="n"/>
      <c r="J15" s="241" t="n"/>
      <c r="K15" s="241" t="n"/>
      <c r="M15" s="393" t="inlineStr">
        <is>
          <t>Processing Gate Year</t>
        </is>
      </c>
      <c r="N15" s="266">
        <f>MAX(6,MATCH(TRUE,DAIRY!B4:K4&gt;500000,0))</f>
        <v/>
      </c>
    </row>
    <row r="16" ht="15" customHeight="1" s="239">
      <c r="A16" s="146" t="inlineStr">
        <is>
          <t>MinDSCR</t>
        </is>
      </c>
      <c r="B16" s="217" t="n">
        <v>1.2</v>
      </c>
      <c r="C16" s="241" t="n"/>
      <c r="D16" s="241" t="n"/>
      <c r="E16" s="241" t="n"/>
      <c r="F16" s="241" t="n"/>
      <c r="G16" s="241" t="n"/>
      <c r="H16" s="241" t="n"/>
      <c r="I16" s="241" t="n"/>
      <c r="J16" s="241" t="n"/>
      <c r="K16" s="241" t="n"/>
    </row>
    <row r="17" ht="15" customHeight="1" s="239">
      <c r="A17" s="146" t="inlineStr">
        <is>
          <t>InitialCows</t>
        </is>
      </c>
      <c r="B17" s="217" t="n">
        <v>80</v>
      </c>
      <c r="C17" s="241" t="n"/>
      <c r="D17" s="241" t="n"/>
      <c r="E17" s="241" t="n"/>
      <c r="F17" s="241" t="n"/>
      <c r="G17" s="241" t="n"/>
      <c r="H17" s="241" t="n"/>
      <c r="I17" s="241" t="n"/>
      <c r="J17" s="241" t="n"/>
      <c r="K17" s="241" t="n"/>
    </row>
    <row r="18" ht="15" customHeight="1" s="239">
      <c r="A18" s="146" t="inlineStr">
        <is>
          <t>InitialBreedingBulls</t>
        </is>
      </c>
      <c r="B18" s="217" t="n">
        <v>6</v>
      </c>
      <c r="C18" s="241" t="n"/>
      <c r="D18" s="241" t="n"/>
      <c r="E18" s="241" t="n"/>
      <c r="F18" s="241" t="n"/>
      <c r="G18" s="241" t="n"/>
      <c r="H18" s="241" t="n"/>
      <c r="I18" s="241" t="n"/>
      <c r="J18" s="241" t="n"/>
      <c r="K18" s="241" t="n"/>
    </row>
    <row r="19" ht="15" customHeight="1" s="239">
      <c r="A19" s="146" t="inlineStr">
        <is>
          <t>InitialFatteningBulls</t>
        </is>
      </c>
      <c r="B19" s="217" t="n">
        <v>40</v>
      </c>
      <c r="C19" s="241" t="n"/>
      <c r="D19" s="241" t="n"/>
      <c r="E19" s="241" t="n"/>
      <c r="F19" s="241" t="n"/>
      <c r="G19" s="241" t="n"/>
      <c r="H19" s="241" t="n"/>
      <c r="I19" s="241" t="n"/>
      <c r="J19" s="241" t="n"/>
      <c r="K19" s="241" t="n"/>
    </row>
    <row r="20" ht="15" customHeight="1" s="239">
      <c r="A20" s="146" t="inlineStr">
        <is>
          <t>CalfSurvival</t>
        </is>
      </c>
      <c r="B20" s="217" t="n">
        <v>0.95</v>
      </c>
      <c r="C20" s="241" t="n"/>
      <c r="D20" s="241" t="n"/>
      <c r="E20" s="241" t="n"/>
      <c r="F20" s="241" t="n"/>
      <c r="G20" s="241" t="n"/>
      <c r="H20" s="241" t="n"/>
      <c r="I20" s="241" t="n"/>
      <c r="J20" s="241" t="n"/>
      <c r="K20" s="241" t="n"/>
    </row>
    <row r="21" ht="15" customHeight="1" s="239">
      <c r="A21" s="146" t="inlineStr">
        <is>
          <t>FemaleRatio</t>
        </is>
      </c>
      <c r="B21" s="217" t="n">
        <v>0.5</v>
      </c>
      <c r="C21" s="241" t="n"/>
      <c r="D21" s="241" t="n"/>
      <c r="E21" s="241" t="n"/>
      <c r="F21" s="241" t="n"/>
      <c r="G21" s="241" t="n"/>
      <c r="H21" s="241" t="n"/>
      <c r="I21" s="241" t="n"/>
      <c r="J21" s="241" t="n"/>
      <c r="K21" s="241" t="n"/>
    </row>
    <row r="22" ht="15" customHeight="1" s="239">
      <c r="A22" s="146" t="inlineStr">
        <is>
          <t>MaleSellRate</t>
        </is>
      </c>
      <c r="B22" s="217" t="n">
        <v>0.9</v>
      </c>
      <c r="C22" s="241" t="n"/>
      <c r="D22" s="241" t="n"/>
      <c r="E22" s="241" t="n"/>
      <c r="F22" s="241" t="n"/>
      <c r="G22" s="241" t="n"/>
      <c r="H22" s="241" t="n"/>
      <c r="I22" s="241" t="n"/>
      <c r="J22" s="241" t="n"/>
      <c r="K22" s="241" t="n"/>
    </row>
    <row r="23" ht="15" customHeight="1" s="239">
      <c r="A23" s="146" t="inlineStr">
        <is>
          <t>MaleSellStartYear</t>
        </is>
      </c>
      <c r="B23" s="217" t="n">
        <v>2</v>
      </c>
      <c r="C23" s="241" t="n"/>
      <c r="D23" s="241" t="n"/>
      <c r="E23" s="241" t="n"/>
      <c r="F23" s="241" t="n"/>
      <c r="G23" s="241" t="n"/>
      <c r="H23" s="241" t="n"/>
      <c r="I23" s="241" t="n"/>
      <c r="J23" s="241" t="n"/>
      <c r="K23" s="241" t="n"/>
    </row>
    <row r="24" ht="15" customHeight="1" s="239">
      <c r="A24" s="146" t="inlineStr">
        <is>
          <t>CowCullY6Y7</t>
        </is>
      </c>
      <c r="B24" s="217" t="n">
        <v>0.35</v>
      </c>
      <c r="C24" s="241" t="n"/>
      <c r="D24" s="241" t="n"/>
      <c r="E24" s="241" t="n"/>
      <c r="F24" s="241" t="n"/>
      <c r="G24" s="241" t="n"/>
      <c r="H24" s="241" t="n"/>
      <c r="I24" s="241" t="n"/>
      <c r="J24" s="241" t="n"/>
      <c r="K24" s="241" t="n"/>
    </row>
    <row r="25" ht="15" customHeight="1" s="239">
      <c r="A25" s="146" t="inlineStr">
        <is>
          <t>CowCullY8Plus</t>
        </is>
      </c>
      <c r="B25" s="217" t="n">
        <v>0.2</v>
      </c>
      <c r="C25" s="241" t="n"/>
      <c r="D25" s="241" t="n"/>
      <c r="E25" s="241" t="n"/>
      <c r="F25" s="241" t="n"/>
      <c r="G25" s="241" t="n"/>
      <c r="H25" s="241" t="n"/>
      <c r="I25" s="241" t="n"/>
      <c r="J25" s="241" t="n"/>
      <c r="K25" s="241" t="n"/>
    </row>
    <row r="26" ht="15" customHeight="1" s="239">
      <c r="A26" s="146" t="inlineStr">
        <is>
          <t>LactationRate</t>
        </is>
      </c>
      <c r="B26" s="217" t="n">
        <v>0.85</v>
      </c>
      <c r="C26" s="241" t="n"/>
      <c r="D26" s="241" t="n"/>
      <c r="E26" s="241" t="n"/>
      <c r="F26" s="241" t="n"/>
      <c r="G26" s="241" t="n"/>
      <c r="H26" s="241" t="n"/>
      <c r="I26" s="241" t="n"/>
      <c r="J26" s="241" t="n"/>
      <c r="K26" s="241" t="n"/>
    </row>
    <row r="27" ht="15" customHeight="1" s="239">
      <c r="A27" s="146" t="inlineStr">
        <is>
          <t>MilkingDays</t>
        </is>
      </c>
      <c r="B27" s="217" t="n">
        <v>305</v>
      </c>
      <c r="C27" s="241" t="n"/>
      <c r="D27" s="241" t="n"/>
      <c r="E27" s="241" t="n"/>
      <c r="F27" s="241" t="n"/>
      <c r="G27" s="241" t="n"/>
      <c r="H27" s="241" t="n"/>
      <c r="I27" s="241" t="n"/>
      <c r="J27" s="241" t="n"/>
      <c r="K27" s="241" t="n"/>
    </row>
    <row r="28" ht="15" customHeight="1" s="239">
      <c r="A28" s="146" t="inlineStr">
        <is>
          <t>ManureBagsPerCow</t>
        </is>
      </c>
      <c r="B28" s="217" t="n">
        <v>182</v>
      </c>
      <c r="C28" s="241" t="n"/>
      <c r="D28" s="241" t="n"/>
      <c r="E28" s="241" t="n"/>
      <c r="F28" s="241" t="n"/>
      <c r="G28" s="241" t="n"/>
      <c r="H28" s="241" t="n"/>
      <c r="I28" s="241" t="n"/>
      <c r="J28" s="241" t="n"/>
      <c r="K28" s="241" t="n"/>
    </row>
    <row r="29" ht="15" customHeight="1" s="239">
      <c r="A29" s="146" t="inlineStr">
        <is>
          <t>CarcassCow_kg</t>
        </is>
      </c>
      <c r="B29" s="217" t="n">
        <v>250</v>
      </c>
      <c r="C29" s="241" t="n"/>
      <c r="D29" s="241" t="n"/>
      <c r="E29" s="241" t="n"/>
      <c r="F29" s="241" t="n"/>
      <c r="G29" s="241" t="n"/>
      <c r="H29" s="241" t="n"/>
      <c r="I29" s="241" t="n"/>
      <c r="J29" s="241" t="n"/>
      <c r="K29" s="241" t="n"/>
    </row>
    <row r="30" ht="15" customHeight="1" s="239">
      <c r="A30" s="146" t="inlineStr">
        <is>
          <t>CarcassYoungMale_kg</t>
        </is>
      </c>
      <c r="B30" s="217" t="n">
        <v>200</v>
      </c>
      <c r="C30" s="241" t="n"/>
      <c r="D30" s="241" t="n"/>
      <c r="E30" s="241" t="n"/>
      <c r="F30" s="241" t="n"/>
      <c r="G30" s="241" t="n"/>
      <c r="H30" s="241" t="n"/>
      <c r="I30" s="241" t="n"/>
      <c r="J30" s="241" t="n"/>
      <c r="K30" s="241" t="n"/>
    </row>
    <row r="31" ht="15" customHeight="1" s="239">
      <c r="A31" s="146" t="inlineStr">
        <is>
          <t>AcrePrice_NGN</t>
        </is>
      </c>
      <c r="B31" s="217" t="n">
        <v>500000</v>
      </c>
      <c r="C31" s="241" t="n"/>
      <c r="D31" s="241" t="n"/>
      <c r="E31" s="241" t="n"/>
      <c r="F31" s="241" t="n"/>
      <c r="G31" s="241" t="n"/>
      <c r="H31" s="241" t="n"/>
      <c r="I31" s="241" t="n"/>
      <c r="J31" s="241" t="n"/>
      <c r="K31" s="241" t="n"/>
    </row>
    <row r="32" ht="15" customHeight="1" s="239">
      <c r="A32" s="146" t="inlineStr">
        <is>
          <t>TotalNoAcres</t>
        </is>
      </c>
      <c r="B32" s="217" t="n">
        <v>120</v>
      </c>
      <c r="C32" s="241" t="n"/>
      <c r="D32" s="241" t="n"/>
      <c r="E32" s="241" t="n"/>
      <c r="F32" s="241" t="n"/>
      <c r="G32" s="241" t="n"/>
      <c r="H32" s="241" t="n"/>
      <c r="I32" s="241" t="n"/>
      <c r="J32" s="241" t="n"/>
      <c r="K32" s="241" t="n"/>
    </row>
    <row r="33" ht="15" customHeight="1" s="239">
      <c r="A33" s="146" t="inlineStr">
        <is>
          <t>CropYield_NGN_Per_Acre</t>
        </is>
      </c>
      <c r="B33" s="217" t="n">
        <v>1500000</v>
      </c>
      <c r="C33" s="241" t="n"/>
      <c r="D33" s="241" t="n"/>
      <c r="E33" s="241" t="n"/>
      <c r="F33" s="241" t="n"/>
      <c r="G33" s="241" t="n"/>
      <c r="H33" s="241" t="n"/>
      <c r="I33" s="241" t="n"/>
      <c r="J33" s="241" t="n"/>
      <c r="K33" s="241" t="n"/>
    </row>
    <row r="34" ht="15" customHeight="1" s="239">
      <c r="A34" s="146" t="inlineStr">
        <is>
          <t>Year1WetDayFactor</t>
        </is>
      </c>
      <c r="B34" s="217" t="n">
        <v>0</v>
      </c>
      <c r="C34" s="241" t="n"/>
      <c r="D34" s="241" t="n"/>
      <c r="E34" s="241" t="n"/>
      <c r="F34" s="241" t="n"/>
      <c r="G34" s="241" t="n"/>
      <c r="H34" s="241" t="n"/>
      <c r="I34" s="241" t="n"/>
      <c r="J34" s="241" t="n"/>
      <c r="K34" s="241" t="n"/>
    </row>
    <row r="35" ht="15" customHeight="1" s="239">
      <c r="A35" s="146" t="inlineStr">
        <is>
          <t>Year2WetDayFactor</t>
        </is>
      </c>
      <c r="B35" s="217" t="n">
        <v>0.5</v>
      </c>
      <c r="C35" s="241" t="n"/>
      <c r="D35" s="241" t="n"/>
      <c r="E35" s="241" t="n"/>
      <c r="F35" s="241" t="n"/>
      <c r="G35" s="241" t="n"/>
      <c r="H35" s="241" t="n"/>
      <c r="I35" s="241" t="n"/>
      <c r="J35" s="241" t="n"/>
      <c r="K35" s="241" t="n"/>
    </row>
    <row r="36" ht="15" customHeight="1" s="239">
      <c r="A36" s="146" t="n"/>
      <c r="B36" s="148" t="n"/>
      <c r="C36" s="241" t="n"/>
      <c r="D36" s="241" t="n"/>
      <c r="E36" s="241" t="n"/>
      <c r="F36" s="241" t="n"/>
      <c r="G36" s="241" t="n"/>
      <c r="H36" s="241" t="n"/>
      <c r="I36" s="241" t="n"/>
      <c r="J36" s="241" t="n"/>
      <c r="K36" s="241" t="n"/>
    </row>
    <row r="37" ht="15" customHeight="1" s="239">
      <c r="A37" s="146" t="n"/>
      <c r="B37" s="148" t="n"/>
      <c r="C37" s="241" t="n"/>
      <c r="D37" s="241" t="n"/>
      <c r="E37" s="241" t="n"/>
      <c r="F37" s="241" t="n"/>
      <c r="G37" s="241" t="n"/>
      <c r="H37" s="241" t="n"/>
      <c r="I37" s="241" t="n"/>
      <c r="J37" s="241" t="n"/>
      <c r="K37" s="241" t="n"/>
    </row>
    <row r="38" ht="15" customHeight="1" s="239">
      <c r="A38" s="146" t="n"/>
      <c r="B38" s="148" t="n"/>
      <c r="C38" s="241" t="n"/>
      <c r="D38" s="241" t="n"/>
      <c r="E38" s="241" t="n"/>
      <c r="F38" s="241" t="n"/>
      <c r="G38" s="241" t="n"/>
      <c r="H38" s="241" t="n"/>
      <c r="I38" s="241" t="n"/>
      <c r="J38" s="241" t="n"/>
      <c r="K38" s="241" t="n"/>
    </row>
    <row r="39" ht="15" customHeight="1" s="239">
      <c r="A39" s="146" t="n"/>
      <c r="B39" s="148" t="n"/>
      <c r="C39" s="241" t="n"/>
      <c r="D39" s="241" t="n"/>
      <c r="E39" s="241" t="n"/>
      <c r="F39" s="149" t="n"/>
      <c r="G39" s="241" t="n"/>
      <c r="H39" s="241" t="n"/>
      <c r="I39" s="241" t="n"/>
      <c r="J39" s="241" t="n"/>
      <c r="K39" s="241" t="n"/>
    </row>
    <row r="40" ht="15" customHeight="1" s="239">
      <c r="A40" s="146" t="n"/>
      <c r="B40" s="148" t="n"/>
      <c r="C40" s="241" t="n"/>
      <c r="D40" s="241" t="n"/>
      <c r="E40" s="241" t="n"/>
      <c r="F40" s="149" t="n"/>
      <c r="G40" s="241" t="n"/>
      <c r="H40" s="241" t="n"/>
      <c r="I40" s="241" t="n"/>
      <c r="J40" s="241" t="n"/>
      <c r="K40" s="241" t="n"/>
    </row>
    <row r="41" ht="15" customHeight="1" s="239">
      <c r="A41" s="146" t="n"/>
      <c r="B41" s="148" t="n"/>
      <c r="C41" s="241" t="n"/>
      <c r="D41" s="241" t="n"/>
      <c r="E41" s="241" t="n"/>
      <c r="F41" s="149" t="n"/>
      <c r="G41" s="241" t="n"/>
      <c r="H41" s="241" t="n"/>
      <c r="I41" s="241" t="n"/>
      <c r="J41" s="241" t="n"/>
      <c r="K41" s="241" t="n"/>
    </row>
    <row r="42">
      <c r="A42" s="241" t="n"/>
      <c r="B42" s="241" t="n"/>
      <c r="C42" s="241" t="n"/>
      <c r="D42" s="241" t="n"/>
      <c r="E42" s="241" t="n"/>
      <c r="F42" s="241" t="n"/>
      <c r="G42" s="241" t="n"/>
      <c r="H42" s="241" t="n"/>
      <c r="I42" s="241" t="n"/>
      <c r="J42" s="241" t="n"/>
      <c r="K42" s="241" t="n"/>
    </row>
    <row r="43">
      <c r="A43" s="241" t="n"/>
      <c r="B43" s="241" t="n"/>
      <c r="C43" s="241" t="n"/>
      <c r="D43" s="241" t="n"/>
      <c r="E43" s="241" t="n"/>
      <c r="F43" s="241" t="n"/>
      <c r="G43" s="241" t="n"/>
      <c r="H43" s="241" t="n"/>
      <c r="I43" s="241" t="n"/>
      <c r="J43" s="241" t="n"/>
      <c r="K43" s="241" t="n"/>
    </row>
    <row r="44" ht="15" customFormat="1" customHeight="1" s="20">
      <c r="A44" s="144" t="inlineStr">
        <is>
          <t>Annual Operating Assumptions</t>
        </is>
      </c>
      <c r="B44" s="241" t="n"/>
      <c r="C44" s="241" t="n"/>
      <c r="D44" s="241" t="n"/>
      <c r="E44" s="241" t="n"/>
      <c r="F44" s="241" t="n"/>
      <c r="G44" s="241" t="n"/>
      <c r="H44" s="241" t="n"/>
      <c r="I44" s="241" t="n"/>
      <c r="J44" s="241" t="n"/>
      <c r="K44" s="241" t="n"/>
    </row>
    <row r="45" ht="15" customFormat="1" customHeight="1" s="20">
      <c r="A45" s="144" t="inlineStr">
        <is>
          <t>Year</t>
        </is>
      </c>
      <c r="B45" s="216" t="n">
        <v>1</v>
      </c>
      <c r="C45" s="216" t="n">
        <v>2</v>
      </c>
      <c r="D45" s="216" t="n">
        <v>3</v>
      </c>
      <c r="E45" s="216" t="n">
        <v>4</v>
      </c>
      <c r="F45" s="216" t="n">
        <v>5</v>
      </c>
      <c r="G45" s="216" t="n">
        <v>6</v>
      </c>
      <c r="H45" s="216" t="n">
        <v>7</v>
      </c>
      <c r="I45" s="216" t="n">
        <v>8</v>
      </c>
      <c r="J45" s="216" t="n">
        <v>9</v>
      </c>
      <c r="K45" s="216" t="n">
        <v>10</v>
      </c>
    </row>
    <row r="46" ht="15" customHeight="1" s="239">
      <c r="A46" s="146" t="inlineStr">
        <is>
          <t>Milk_Yield_L_Day_Cow</t>
        </is>
      </c>
      <c r="B46" s="217" t="n">
        <v>0</v>
      </c>
      <c r="C46" s="217" t="n">
        <v>6</v>
      </c>
      <c r="D46" s="217" t="n">
        <v>6</v>
      </c>
      <c r="E46" s="217" t="n">
        <v>9</v>
      </c>
      <c r="F46" s="217" t="n">
        <v>12</v>
      </c>
      <c r="G46" s="217" t="n">
        <v>15</v>
      </c>
      <c r="H46" s="217" t="n">
        <v>18</v>
      </c>
      <c r="I46" s="217" t="n">
        <v>21</v>
      </c>
      <c r="J46" s="217" t="n">
        <v>21</v>
      </c>
      <c r="K46" s="217" t="n">
        <v>21</v>
      </c>
    </row>
    <row r="47" ht="15" customHeight="1" s="239">
      <c r="A47" s="146" t="inlineStr">
        <is>
          <t>Milk_Price_NGN_L</t>
        </is>
      </c>
      <c r="B47" s="237" t="n">
        <v>1000</v>
      </c>
      <c r="C47" s="237" t="n">
        <v>1200</v>
      </c>
      <c r="D47" s="237" t="n">
        <v>1200</v>
      </c>
      <c r="E47" s="237" t="n">
        <v>1500</v>
      </c>
      <c r="F47" s="237" t="n">
        <v>1500</v>
      </c>
      <c r="G47" s="237" t="n">
        <v>3000</v>
      </c>
      <c r="H47" s="237" t="n">
        <v>3000</v>
      </c>
      <c r="I47" s="237" t="n">
        <v>3000</v>
      </c>
      <c r="J47" s="237" t="n">
        <v>3000</v>
      </c>
      <c r="K47" s="237" t="n">
        <v>3000</v>
      </c>
    </row>
    <row r="48" ht="15" customHeight="1" s="239">
      <c r="A48" s="146" t="inlineStr">
        <is>
          <t>Beef_Price_NGN_Kg</t>
        </is>
      </c>
      <c r="B48" s="237" t="n">
        <v>6800</v>
      </c>
      <c r="C48" s="237" t="n">
        <v>6800</v>
      </c>
      <c r="D48" s="237" t="n">
        <v>6800</v>
      </c>
      <c r="E48" s="237" t="n">
        <v>7200</v>
      </c>
      <c r="F48" s="237" t="n">
        <v>8200</v>
      </c>
      <c r="G48" s="237" t="n">
        <v>9400</v>
      </c>
      <c r="H48" s="237" t="n">
        <v>9400</v>
      </c>
      <c r="I48" s="237" t="n">
        <v>9400</v>
      </c>
      <c r="J48" s="237" t="n">
        <v>9400</v>
      </c>
      <c r="K48" s="237" t="n">
        <v>9400</v>
      </c>
    </row>
    <row r="49" ht="15" customHeight="1" s="239">
      <c r="A49" s="146" t="inlineStr">
        <is>
          <t>Manure_Price_NGN_Bag</t>
        </is>
      </c>
      <c r="B49" s="237" t="n">
        <v>100</v>
      </c>
      <c r="C49" s="237" t="n">
        <v>100</v>
      </c>
      <c r="D49" s="237" t="n">
        <v>100</v>
      </c>
      <c r="E49" s="237" t="n">
        <v>100</v>
      </c>
      <c r="F49" s="237" t="n">
        <v>100</v>
      </c>
      <c r="G49" s="237" t="n">
        <v>100</v>
      </c>
      <c r="H49" s="237" t="n">
        <v>100</v>
      </c>
      <c r="I49" s="237" t="n">
        <v>100</v>
      </c>
      <c r="J49" s="237" t="n">
        <v>100</v>
      </c>
      <c r="K49" s="237" t="n">
        <v>100</v>
      </c>
    </row>
    <row r="50" ht="15" customHeight="1" s="239">
      <c r="A50" s="146" t="inlineStr">
        <is>
          <t>Crop_Acres</t>
        </is>
      </c>
      <c r="B50" s="231">
        <f>IFERROR(FEED_FARM!B4,"")</f>
        <v/>
      </c>
      <c r="C50" s="231">
        <f>IFERROR(FEED_FARM!C4,"")</f>
        <v/>
      </c>
      <c r="D50" s="231">
        <f>IFERROR(FEED_FARM!D4,"")</f>
        <v/>
      </c>
      <c r="E50" s="231">
        <f>IFERROR(FEED_FARM!E4,"")</f>
        <v/>
      </c>
      <c r="F50" s="231">
        <f>IFERROR(FEED_FARM!F4,"")</f>
        <v/>
      </c>
      <c r="G50" s="231">
        <f>IFERROR(FEED_FARM!G4,"")</f>
        <v/>
      </c>
      <c r="H50" s="231">
        <f>IFERROR(FEED_FARM!H4,"")</f>
        <v/>
      </c>
      <c r="I50" s="231">
        <f>IFERROR(FEED_FARM!I4,"")</f>
        <v/>
      </c>
      <c r="J50" s="231">
        <f>IFERROR(FEED_FARM!J4,"")</f>
        <v/>
      </c>
      <c r="K50" s="231">
        <f>IFERROR(FEED_FARM!K4,"")</f>
        <v/>
      </c>
    </row>
    <row r="51" ht="15" customHeight="1" s="239">
      <c r="A51" s="146" t="inlineStr">
        <is>
          <t>Crop_Yield_NGN_Acre</t>
        </is>
      </c>
      <c r="B51" s="238" t="n">
        <v>1500000</v>
      </c>
      <c r="C51" s="238" t="n">
        <v>1500000</v>
      </c>
      <c r="D51" s="238" t="n">
        <v>1500000</v>
      </c>
      <c r="E51" s="238" t="n">
        <v>1500000</v>
      </c>
      <c r="F51" s="238" t="n">
        <v>1500000</v>
      </c>
      <c r="G51" s="238" t="n">
        <v>1500000</v>
      </c>
      <c r="H51" s="238" t="n">
        <v>1500000</v>
      </c>
      <c r="I51" s="238" t="n">
        <v>1500000</v>
      </c>
      <c r="J51" s="238" t="n">
        <v>1500000</v>
      </c>
      <c r="K51" s="238" t="n">
        <v>1500000</v>
      </c>
    </row>
    <row r="52" ht="15" customHeight="1" s="239">
      <c r="A52" s="146" t="inlineStr">
        <is>
          <t>Milking_Cows_Base</t>
        </is>
      </c>
      <c r="B52" s="217" t="n">
        <v>0</v>
      </c>
      <c r="C52" s="217" t="n">
        <v>68</v>
      </c>
      <c r="D52" s="217" t="n">
        <v>68</v>
      </c>
      <c r="E52" s="217" t="n">
        <v>100.300182149363</v>
      </c>
      <c r="F52" s="217" t="n">
        <v>132.6</v>
      </c>
      <c r="G52" s="217" t="n">
        <v>180.2</v>
      </c>
      <c r="H52" s="217" t="n">
        <v>243.185040983607</v>
      </c>
      <c r="I52" s="217" t="n">
        <v>254.99781420765</v>
      </c>
      <c r="J52" s="217" t="n">
        <v>254.91078515962</v>
      </c>
      <c r="K52" s="217" t="n">
        <v>254.909672131148</v>
      </c>
    </row>
    <row r="53" ht="15" customHeight="1" s="239">
      <c r="A53" s="146" t="inlineStr">
        <is>
          <t>Beef_Kg_Base</t>
        </is>
      </c>
      <c r="B53" s="217" t="n">
        <v>0</v>
      </c>
      <c r="C53" s="217" t="n">
        <v>0</v>
      </c>
      <c r="D53" s="217" t="n">
        <v>0</v>
      </c>
      <c r="E53" s="217" t="n">
        <v>11210</v>
      </c>
      <c r="F53" s="217" t="n">
        <v>14820</v>
      </c>
      <c r="G53" s="217" t="n">
        <v>20140</v>
      </c>
      <c r="H53" s="217" t="n">
        <v>38680</v>
      </c>
      <c r="I53" s="217" t="n">
        <v>43000</v>
      </c>
      <c r="J53" s="217" t="n">
        <v>58990</v>
      </c>
      <c r="K53" s="217" t="n">
        <v>62490</v>
      </c>
    </row>
    <row r="54" ht="15" customHeight="1" s="239">
      <c r="A54" s="146" t="inlineStr">
        <is>
          <t>Manure_Bags_Base</t>
        </is>
      </c>
      <c r="B54" s="217" t="n">
        <v>14560</v>
      </c>
      <c r="C54" s="217" t="n">
        <v>18018</v>
      </c>
      <c r="D54" s="217" t="n">
        <v>18018</v>
      </c>
      <c r="E54" s="217" t="n">
        <v>26577</v>
      </c>
      <c r="F54" s="217">
        <f>IFERROR(E54,"")</f>
        <v/>
      </c>
      <c r="G54" s="217" t="n">
        <v>0</v>
      </c>
      <c r="H54" s="217" t="n">
        <v>0</v>
      </c>
      <c r="I54" s="217" t="n">
        <v>0</v>
      </c>
      <c r="J54" s="217" t="n">
        <v>0</v>
      </c>
      <c r="K54" s="217" t="n">
        <v>0</v>
      </c>
    </row>
    <row r="55">
      <c r="A55" s="241" t="n"/>
      <c r="B55" s="241" t="n"/>
      <c r="C55" s="241" t="n"/>
      <c r="D55" s="241" t="n"/>
      <c r="E55" s="241" t="n"/>
      <c r="F55" s="241" t="n"/>
      <c r="G55" s="241" t="n"/>
      <c r="H55" s="241" t="n"/>
      <c r="I55" s="241" t="n"/>
      <c r="J55" s="241" t="n"/>
      <c r="K55" s="241" t="n"/>
    </row>
    <row r="56">
      <c r="A56" s="241" t="n"/>
      <c r="B56" s="241" t="n"/>
      <c r="C56" s="241" t="n"/>
      <c r="D56" s="241" t="n"/>
      <c r="E56" s="241" t="n"/>
      <c r="F56" s="241" t="n"/>
      <c r="G56" s="241" t="n"/>
      <c r="H56" s="241" t="n"/>
      <c r="I56" s="241" t="n"/>
      <c r="J56" s="241" t="n"/>
      <c r="K56" s="241" t="n"/>
    </row>
    <row r="57" ht="32" customHeight="1" s="239">
      <c r="A57" s="141" t="inlineStr">
        <is>
          <t>Opening Herd And Phase 1 Animal CAPEX</t>
        </is>
      </c>
      <c r="B57" s="201" t="n"/>
      <c r="C57" s="201" t="n"/>
      <c r="D57" s="201" t="n"/>
      <c r="E57" s="201" t="n"/>
      <c r="F57" s="201" t="n"/>
      <c r="G57" s="201" t="n"/>
      <c r="H57" s="201" t="n"/>
      <c r="I57" s="198" t="n"/>
      <c r="J57" s="198" t="n"/>
      <c r="K57" s="198" t="n"/>
    </row>
    <row r="58" ht="16" customHeight="1" s="239">
      <c r="A58" s="139" t="inlineStr">
        <is>
          <t>Category</t>
        </is>
      </c>
      <c r="B58" s="139" t="inlineStr">
        <is>
          <t>Opening Head</t>
        </is>
      </c>
      <c r="C58" s="139" t="inlineStr">
        <is>
          <t>Cost / Head</t>
        </is>
      </c>
      <c r="D58" s="139" t="inlineStr">
        <is>
          <t>Total Cost</t>
        </is>
      </c>
      <c r="E58" s="139" t="inlineStr">
        <is>
          <t>Linked Use</t>
        </is>
      </c>
      <c r="F58" s="139" t="inlineStr">
        <is>
          <t>Notes</t>
        </is>
      </c>
      <c r="G58" s="241" t="n"/>
      <c r="H58" s="241" t="n"/>
      <c r="I58" s="241" t="n"/>
      <c r="J58" s="241" t="n"/>
      <c r="K58" s="241" t="n"/>
    </row>
    <row r="59" ht="16" customHeight="1" s="239">
      <c r="A59" s="241" t="inlineStr">
        <is>
          <t>Dairy cows</t>
        </is>
      </c>
      <c r="B59" s="217" t="n">
        <v>80</v>
      </c>
      <c r="C59" s="217" t="n">
        <v>600000</v>
      </c>
      <c r="D59" s="217">
        <f>IFERROR(B59*C59,"")</f>
        <v/>
      </c>
      <c r="E59" s="241" t="inlineStr">
        <is>
          <t>CAPEX / HERD_MODEL</t>
        </is>
      </c>
      <c r="F59" s="241" t="inlineStr">
        <is>
          <t>Bokolo dairy cows</t>
        </is>
      </c>
      <c r="G59" s="241" t="n"/>
      <c r="H59" s="241" t="n"/>
      <c r="I59" s="241" t="n"/>
      <c r="J59" s="241" t="n"/>
      <c r="K59" s="241" t="n"/>
    </row>
    <row r="60" ht="16" customHeight="1" s="239">
      <c r="A60" s="241" t="inlineStr">
        <is>
          <t>Breeding bulls</t>
        </is>
      </c>
      <c r="B60" s="217" t="n">
        <v>6</v>
      </c>
      <c r="C60" s="217" t="n">
        <v>2500000</v>
      </c>
      <c r="D60" s="217">
        <f>IFERROR(B60*C60,"")</f>
        <v/>
      </c>
      <c r="E60" s="241" t="inlineStr">
        <is>
          <t>CAPEX / HERD_MODEL</t>
        </is>
      </c>
      <c r="F60" s="241" t="inlineStr">
        <is>
          <t>Friesian breeding bulls</t>
        </is>
      </c>
      <c r="G60" s="241" t="n"/>
      <c r="H60" s="241" t="n"/>
      <c r="I60" s="241" t="n"/>
      <c r="J60" s="241" t="n"/>
      <c r="K60" s="241" t="n"/>
    </row>
    <row r="61" ht="16" customHeight="1" s="239">
      <c r="A61" s="241" t="inlineStr">
        <is>
          <t>Fattening bulls</t>
        </is>
      </c>
      <c r="B61" s="217" t="n">
        <v>40</v>
      </c>
      <c r="C61" s="217" t="n">
        <v>500000</v>
      </c>
      <c r="D61" s="217">
        <f>IFERROR(B61*C61,"")</f>
        <v/>
      </c>
      <c r="E61" s="241" t="inlineStr">
        <is>
          <t>FATTENING / CAPEX</t>
        </is>
      </c>
      <c r="F61" s="241" t="inlineStr">
        <is>
          <t>Opening fattening bulls</t>
        </is>
      </c>
      <c r="G61" s="241" t="n"/>
      <c r="H61" s="241" t="n"/>
      <c r="I61" s="241" t="n"/>
      <c r="J61" s="241" t="n"/>
      <c r="K61" s="241" t="n"/>
    </row>
    <row r="62" ht="16" customHeight="1" s="239">
      <c r="A62" s="151" t="inlineStr">
        <is>
          <t>Total opening herd capex</t>
        </is>
      </c>
      <c r="B62" s="218">
        <f>IFERROR(SUM(B59:B61),"")</f>
        <v/>
      </c>
      <c r="C62" s="203" t="n"/>
      <c r="D62" s="218">
        <f>IFERROR(SUM(D59:D61),"")</f>
        <v/>
      </c>
      <c r="E62" s="203" t="inlineStr">
        <is>
          <t>Phase 1 allocation</t>
        </is>
      </c>
      <c r="F62" s="203" t="inlineStr">
        <is>
          <t>Animal purchase cost explicitly shown</t>
        </is>
      </c>
      <c r="G62" s="203" t="n"/>
      <c r="H62" s="203" t="n"/>
      <c r="I62" s="203" t="n"/>
      <c r="J62" s="203" t="n"/>
      <c r="K62" s="203" t="n"/>
    </row>
    <row r="63">
      <c r="A63" s="241" t="n"/>
      <c r="B63" s="241" t="n"/>
      <c r="C63" s="241" t="n"/>
      <c r="D63" s="241" t="n"/>
      <c r="E63" s="241" t="n"/>
      <c r="F63" s="241" t="n"/>
      <c r="G63" s="241" t="n"/>
      <c r="H63" s="241" t="n"/>
      <c r="I63" s="241" t="n"/>
      <c r="J63" s="241" t="n"/>
      <c r="K63" s="241" t="n"/>
    </row>
    <row r="64" ht="32" customHeight="1" s="239">
      <c r="A64" s="141" t="inlineStr">
        <is>
          <t>Feed Farm Business Unit Assumptions</t>
        </is>
      </c>
      <c r="B64" s="142" t="n"/>
      <c r="C64" s="142" t="n"/>
      <c r="D64" s="142" t="n"/>
      <c r="E64" s="142" t="n"/>
      <c r="F64" s="142" t="n"/>
      <c r="G64" s="142" t="n"/>
      <c r="H64" s="142" t="n"/>
      <c r="I64" s="142" t="n"/>
      <c r="J64" s="142" t="n"/>
      <c r="K64" s="241" t="n"/>
    </row>
    <row r="65" ht="16" customHeight="1" s="239">
      <c r="A65" s="139" t="inlineStr">
        <is>
          <t>Item</t>
        </is>
      </c>
      <c r="B65" s="139" t="inlineStr">
        <is>
          <t>Value</t>
        </is>
      </c>
      <c r="C65" s="139" t="inlineStr">
        <is>
          <t>Unit</t>
        </is>
      </c>
      <c r="D65" s="139" t="inlineStr">
        <is>
          <t>Category</t>
        </is>
      </c>
      <c r="E65" s="139" t="inlineStr">
        <is>
          <t>Applied In</t>
        </is>
      </c>
      <c r="F65" s="139" t="inlineStr">
        <is>
          <t>Notes</t>
        </is>
      </c>
      <c r="G65" s="139" t="inlineStr">
        <is>
          <t>Evidence Status</t>
        </is>
      </c>
      <c r="H65" s="139" t="inlineStr">
        <is>
          <t>Source Sheet</t>
        </is>
      </c>
      <c r="I65" s="139" t="inlineStr">
        <is>
          <t>Formula Link</t>
        </is>
      </c>
      <c r="J65" s="139" t="inlineStr">
        <is>
          <t>Priority</t>
        </is>
      </c>
      <c r="K65" s="241" t="n"/>
    </row>
    <row r="66" ht="16" customHeight="1" s="239">
      <c r="A66" s="241" t="inlineStr">
        <is>
          <t>Total land</t>
        </is>
      </c>
      <c r="B66" s="217" t="n">
        <v>120</v>
      </c>
      <c r="C66" s="241" t="inlineStr">
        <is>
          <t>acres</t>
        </is>
      </c>
      <c r="D66" s="241" t="inlineStr">
        <is>
          <t>Land</t>
        </is>
      </c>
      <c r="E66" s="241" t="inlineStr">
        <is>
          <t>FEED_FARM</t>
        </is>
      </c>
      <c r="F66" s="241" t="inlineStr">
        <is>
          <t>Overall ranch land base</t>
        </is>
      </c>
      <c r="G66" s="241" t="inlineStr">
        <is>
          <t>Project input</t>
        </is>
      </c>
      <c r="H66" s="241" t="inlineStr">
        <is>
          <t>FEED_FARM</t>
        </is>
      </c>
      <c r="I66" s="241" t="inlineStr">
        <is>
          <t>FEED_FARM!B43</t>
        </is>
      </c>
      <c r="J66" s="241" t="inlineStr">
        <is>
          <t>High</t>
        </is>
      </c>
      <c r="K66" s="241" t="n"/>
    </row>
    <row r="67" ht="32" customHeight="1" s="239">
      <c r="A67" s="241" t="inlineStr">
        <is>
          <t>Cultivated land</t>
        </is>
      </c>
      <c r="B67" s="217">
        <f>IFERROR(FEED_FARM!B4&amp;" to "&amp;FEED_FARM!K4,"")</f>
        <v/>
      </c>
      <c r="C67" s="241" t="inlineStr">
        <is>
          <t>acres</t>
        </is>
      </c>
      <c r="D67" s="241" t="inlineStr">
        <is>
          <t>Land</t>
        </is>
      </c>
      <c r="E67" s="241" t="inlineStr">
        <is>
          <t>FEED_FARM</t>
        </is>
      </c>
      <c r="F67" s="241" t="inlineStr">
        <is>
          <t>Cultivated acres start at 80 in Y1 and ramp evenly to 120 by Y10; Y1 reserve land is 40 acres.</t>
        </is>
      </c>
      <c r="G67" s="241" t="inlineStr">
        <is>
          <t>v10 guide</t>
        </is>
      </c>
      <c r="H67" s="241" t="inlineStr">
        <is>
          <t>FEED_FARM</t>
        </is>
      </c>
      <c r="I67" s="241" t="inlineStr">
        <is>
          <t>FEED_FARM!B44</t>
        </is>
      </c>
      <c r="J67" s="241" t="inlineStr">
        <is>
          <t>High</t>
        </is>
      </c>
      <c r="K67" s="241" t="n"/>
    </row>
    <row r="68" ht="48" customHeight="1" s="239">
      <c r="A68" s="241" t="inlineStr">
        <is>
          <t>Reserve land</t>
        </is>
      </c>
      <c r="B68" s="217">
        <f>IFERROR(FEED_FARM!B45&amp;" to "&amp;FEED_FARM!K45,"")</f>
        <v/>
      </c>
      <c r="C68" s="241" t="inlineStr">
        <is>
          <t>acres</t>
        </is>
      </c>
      <c r="D68" s="241" t="inlineStr">
        <is>
          <t>Land</t>
        </is>
      </c>
      <c r="E68" s="241" t="inlineStr">
        <is>
          <t>FEED_FARM</t>
        </is>
      </c>
      <c r="F68" s="241" t="inlineStr">
        <is>
          <t>Reserve/expansion land begins at 40 acres in Y1 and declines as land is cultivated.</t>
        </is>
      </c>
      <c r="G68" s="241" t="inlineStr">
        <is>
          <t>v10 guide</t>
        </is>
      </c>
      <c r="H68" s="241" t="inlineStr">
        <is>
          <t>FEED_FARM</t>
        </is>
      </c>
      <c r="I68" s="241" t="inlineStr">
        <is>
          <t>FEED_FARM!B45</t>
        </is>
      </c>
      <c r="J68" s="241" t="inlineStr">
        <is>
          <t>Medium</t>
        </is>
      </c>
      <c r="K68" s="241" t="n"/>
    </row>
    <row r="69" ht="16" customHeight="1" s="239">
      <c r="A69" s="241" t="inlineStr">
        <is>
          <t>Irrigated land</t>
        </is>
      </c>
      <c r="B69" s="217">
        <f>IFERROR(FEED_FARM!B46&amp;" to "&amp;FEED_FARM!K46,"")</f>
        <v/>
      </c>
      <c r="C69" s="241" t="inlineStr">
        <is>
          <t>acres</t>
        </is>
      </c>
      <c r="D69" s="241" t="inlineStr">
        <is>
          <t>Land</t>
        </is>
      </c>
      <c r="E69" s="241" t="inlineStr">
        <is>
          <t>FEED_FARM</t>
        </is>
      </c>
      <c r="F69" s="241" t="inlineStr">
        <is>
          <t>Fully irrigated feed production area</t>
        </is>
      </c>
      <c r="G69" s="241" t="inlineStr">
        <is>
          <t>v10 guide</t>
        </is>
      </c>
      <c r="H69" s="241" t="inlineStr">
        <is>
          <t>FEED_FARM</t>
        </is>
      </c>
      <c r="I69" s="241" t="inlineStr">
        <is>
          <t>FEED_FARM!B46</t>
        </is>
      </c>
      <c r="J69" s="241" t="inlineStr">
        <is>
          <t>High</t>
        </is>
      </c>
      <c r="K69" s="241" t="n"/>
    </row>
    <row r="70" ht="32" customHeight="1" s="239">
      <c r="A70" s="241" t="inlineStr">
        <is>
          <t>King Grass acres</t>
        </is>
      </c>
      <c r="B70" s="217">
        <f>IFERROR(FEED_FARM!B50&amp;" to "&amp;FEED_FARM!K50,"")</f>
        <v/>
      </c>
      <c r="C70" s="241" t="inlineStr">
        <is>
          <t>acres</t>
        </is>
      </c>
      <c r="D70" s="241" t="inlineStr">
        <is>
          <t>Crop allocation</t>
        </is>
      </c>
      <c r="E70" s="241" t="inlineStr">
        <is>
          <t>FEED_FARM</t>
        </is>
      </c>
      <c r="F70" s="241" t="inlineStr">
        <is>
          <t>30 acres in Y1; 37.5% of cultivated land as acreage ramps.</t>
        </is>
      </c>
      <c r="G70" s="241" t="inlineStr">
        <is>
          <t>v10 guide</t>
        </is>
      </c>
      <c r="H70" s="241" t="inlineStr">
        <is>
          <t>FEED_FARM</t>
        </is>
      </c>
      <c r="I70" s="241" t="inlineStr">
        <is>
          <t>FEED_FARM!B50</t>
        </is>
      </c>
      <c r="J70" s="241" t="inlineStr">
        <is>
          <t>High</t>
        </is>
      </c>
      <c r="K70" s="241" t="n"/>
    </row>
    <row r="71" ht="32" customHeight="1" s="239">
      <c r="A71" s="241" t="inlineStr">
        <is>
          <t>Corn Silage acres</t>
        </is>
      </c>
      <c r="B71" s="217">
        <f>IFERROR(FEED_FARM!B51&amp;" to "&amp;FEED_FARM!K51,"")</f>
        <v/>
      </c>
      <c r="C71" s="241" t="inlineStr">
        <is>
          <t>acres</t>
        </is>
      </c>
      <c r="D71" s="241" t="inlineStr">
        <is>
          <t>Crop allocation</t>
        </is>
      </c>
      <c r="E71" s="241" t="inlineStr">
        <is>
          <t>FEED_FARM</t>
        </is>
      </c>
      <c r="F71" s="241" t="inlineStr">
        <is>
          <t>20 acres in Y1; 25.0% of cultivated land as acreage ramps.</t>
        </is>
      </c>
      <c r="G71" s="241" t="inlineStr">
        <is>
          <t>v10 guide</t>
        </is>
      </c>
      <c r="H71" s="241" t="inlineStr">
        <is>
          <t>FEED_FARM</t>
        </is>
      </c>
      <c r="I71" s="241" t="inlineStr">
        <is>
          <t>FEED_FARM!B51</t>
        </is>
      </c>
      <c r="J71" s="241" t="inlineStr">
        <is>
          <t>High</t>
        </is>
      </c>
      <c r="K71" s="241" t="n"/>
    </row>
    <row r="72" ht="32" customHeight="1" s="239">
      <c r="A72" s="241" t="inlineStr">
        <is>
          <t>Alfalfa acres</t>
        </is>
      </c>
      <c r="B72" s="217">
        <f>IFERROR(FEED_FARM!B52&amp;" to "&amp;FEED_FARM!K52,"")</f>
        <v/>
      </c>
      <c r="C72" s="241" t="inlineStr">
        <is>
          <t>acres</t>
        </is>
      </c>
      <c r="D72" s="241" t="inlineStr">
        <is>
          <t>Crop allocation</t>
        </is>
      </c>
      <c r="E72" s="241" t="inlineStr">
        <is>
          <t>FEED_FARM</t>
        </is>
      </c>
      <c r="F72" s="241" t="inlineStr">
        <is>
          <t>10 acres in Y1; 12.5% of cultivated land as acreage ramps.</t>
        </is>
      </c>
      <c r="G72" s="241" t="inlineStr">
        <is>
          <t>v10 guide</t>
        </is>
      </c>
      <c r="H72" s="241" t="inlineStr">
        <is>
          <t>FEED_FARM</t>
        </is>
      </c>
      <c r="I72" s="241" t="inlineStr">
        <is>
          <t>FEED_FARM!B52</t>
        </is>
      </c>
      <c r="J72" s="241" t="inlineStr">
        <is>
          <t>High</t>
        </is>
      </c>
      <c r="K72" s="241" t="n"/>
    </row>
    <row r="73" ht="32" customHeight="1" s="239">
      <c r="A73" s="241" t="inlineStr">
        <is>
          <t>Soybean acres</t>
        </is>
      </c>
      <c r="B73" s="217">
        <f>IFERROR(FEED_FARM!B53&amp;" to "&amp;FEED_FARM!K53,"")</f>
        <v/>
      </c>
      <c r="C73" s="241" t="inlineStr">
        <is>
          <t>acres</t>
        </is>
      </c>
      <c r="D73" s="241" t="inlineStr">
        <is>
          <t>Crop allocation</t>
        </is>
      </c>
      <c r="E73" s="241" t="inlineStr">
        <is>
          <t>FEED_FARM</t>
        </is>
      </c>
      <c r="F73" s="241" t="inlineStr">
        <is>
          <t>10 acres in Y1; 12.5% of cultivated land as acreage ramps.</t>
        </is>
      </c>
      <c r="G73" s="241" t="inlineStr">
        <is>
          <t>v10 guide</t>
        </is>
      </c>
      <c r="H73" s="241" t="inlineStr">
        <is>
          <t>FEED_FARM</t>
        </is>
      </c>
      <c r="I73" s="241" t="inlineStr">
        <is>
          <t>FEED_FARM!B53</t>
        </is>
      </c>
      <c r="J73" s="241" t="inlineStr">
        <is>
          <t>High</t>
        </is>
      </c>
      <c r="K73" s="241" t="n"/>
    </row>
    <row r="74" ht="32" customHeight="1" s="239">
      <c r="A74" s="241" t="inlineStr">
        <is>
          <t>Sesame acres</t>
        </is>
      </c>
      <c r="B74" s="217">
        <f>IFERROR(FEED_FARM!B54&amp;" to "&amp;FEED_FARM!K54,"")</f>
        <v/>
      </c>
      <c r="C74" s="241" t="inlineStr">
        <is>
          <t>acres</t>
        </is>
      </c>
      <c r="D74" s="241" t="inlineStr">
        <is>
          <t>Crop allocation</t>
        </is>
      </c>
      <c r="E74" s="241" t="inlineStr">
        <is>
          <t>FEED_FARM</t>
        </is>
      </c>
      <c r="F74" s="241" t="inlineStr">
        <is>
          <t>10 acres in Y1; 12.5% of cultivated land as acreage ramps.</t>
        </is>
      </c>
      <c r="G74" s="241" t="inlineStr">
        <is>
          <t>v10 guide</t>
        </is>
      </c>
      <c r="H74" s="241" t="inlineStr">
        <is>
          <t>FEED_FARM</t>
        </is>
      </c>
      <c r="I74" s="241" t="inlineStr">
        <is>
          <t>FEED_FARM!B54</t>
        </is>
      </c>
      <c r="J74" s="241" t="inlineStr">
        <is>
          <t>High</t>
        </is>
      </c>
      <c r="K74" s="241" t="n"/>
    </row>
    <row r="75" ht="16" customHeight="1" s="239">
      <c r="A75" s="241" t="inlineStr">
        <is>
          <t>Feed self-sufficiency target</t>
        </is>
      </c>
      <c r="B75" s="217" t="n">
        <v>0.9</v>
      </c>
      <c r="C75" s="241" t="inlineStr">
        <is>
          <t>%</t>
        </is>
      </c>
      <c r="D75" s="241" t="inlineStr">
        <is>
          <t>KPI</t>
        </is>
      </c>
      <c r="E75" s="241" t="inlineStr">
        <is>
          <t>BOA_CREDIT_DASHBOARD</t>
        </is>
      </c>
      <c r="F75" s="241" t="inlineStr">
        <is>
          <t>Target production / demand ratio</t>
        </is>
      </c>
      <c r="G75" s="241" t="inlineStr">
        <is>
          <t>v10 guide</t>
        </is>
      </c>
      <c r="H75" s="241" t="inlineStr">
        <is>
          <t>FEED_FARM</t>
        </is>
      </c>
      <c r="I75" s="241" t="inlineStr">
        <is>
          <t>FEED_FARM!B24</t>
        </is>
      </c>
      <c r="J75" s="241" t="inlineStr">
        <is>
          <t>High</t>
        </is>
      </c>
      <c r="K75" s="241" t="n"/>
    </row>
    <row r="76" ht="32" customHeight="1" s="239">
      <c r="A76" s="241" t="inlineStr">
        <is>
          <t>Permanent feed farm staff</t>
        </is>
      </c>
      <c r="B76" s="217" t="n">
        <v>9</v>
      </c>
      <c r="C76" s="241" t="inlineStr">
        <is>
          <t>headcount</t>
        </is>
      </c>
      <c r="D76" s="241" t="inlineStr">
        <is>
          <t>Labour</t>
        </is>
      </c>
      <c r="E76" s="241" t="inlineStr">
        <is>
          <t>FEED_FARM / OPEX</t>
        </is>
      </c>
      <c r="F76" s="241" t="inlineStr">
        <is>
          <t>Manager, tractor operators, irrigation operator, field workers, storekeeper</t>
        </is>
      </c>
      <c r="G76" s="241" t="inlineStr">
        <is>
          <t>v10 guide</t>
        </is>
      </c>
      <c r="H76" s="241" t="inlineStr">
        <is>
          <t>FEED_FARM</t>
        </is>
      </c>
      <c r="I76" s="241" t="inlineStr">
        <is>
          <t>FEED_FARM!B133:B139</t>
        </is>
      </c>
      <c r="J76" s="241" t="inlineStr">
        <is>
          <t>Medium</t>
        </is>
      </c>
      <c r="K76" s="241" t="n"/>
    </row>
    <row r="77" ht="16" customHeight="1" s="239">
      <c r="A77" s="241" t="inlineStr">
        <is>
          <t>Seasonal labour enabled</t>
        </is>
      </c>
      <c r="B77" s="241" t="inlineStr">
        <is>
          <t>Yes</t>
        </is>
      </c>
      <c r="C77" s="241" t="inlineStr">
        <is>
          <t>flag</t>
        </is>
      </c>
      <c r="D77" s="241" t="inlineStr">
        <is>
          <t>Labour</t>
        </is>
      </c>
      <c r="E77" s="241" t="inlineStr">
        <is>
          <t>OPEX</t>
        </is>
      </c>
      <c r="F77" s="241" t="inlineStr">
        <is>
          <t>Seasonal labour included in feed-farm cost logic</t>
        </is>
      </c>
      <c r="G77" s="241" t="inlineStr">
        <is>
          <t>v10 guide</t>
        </is>
      </c>
      <c r="H77" s="241" t="inlineStr">
        <is>
          <t>FEED_FARM</t>
        </is>
      </c>
      <c r="I77" s="241" t="inlineStr">
        <is>
          <t>FEED_FARM!B142</t>
        </is>
      </c>
      <c r="J77" s="241" t="inlineStr">
        <is>
          <t>Medium</t>
        </is>
      </c>
      <c r="K77" s="241" t="n"/>
    </row>
    <row r="78">
      <c r="A78" s="241" t="n"/>
      <c r="B78" s="241" t="n"/>
      <c r="C78" s="241" t="n"/>
      <c r="D78" s="241" t="n"/>
      <c r="E78" s="241" t="n"/>
      <c r="F78" s="241" t="n"/>
      <c r="G78" s="241" t="n"/>
      <c r="H78" s="241" t="n"/>
      <c r="I78" s="241" t="n"/>
      <c r="J78" s="241" t="n"/>
      <c r="K78" s="241" t="n"/>
    </row>
    <row r="79" ht="32" customHeight="1" s="239">
      <c r="A79" s="141" t="inlineStr">
        <is>
          <t>Crop Yield And Input Cost Assumptions</t>
        </is>
      </c>
      <c r="B79" s="142" t="n"/>
      <c r="C79" s="142" t="n"/>
      <c r="D79" s="142" t="n"/>
      <c r="E79" s="142" t="n"/>
      <c r="F79" s="142" t="n"/>
      <c r="G79" s="142" t="n"/>
      <c r="H79" s="142" t="n"/>
      <c r="I79" s="142" t="n"/>
      <c r="J79" s="142" t="n"/>
      <c r="K79" s="241" t="n"/>
    </row>
    <row r="80" ht="16" customHeight="1" s="239">
      <c r="A80" s="139" t="inlineStr">
        <is>
          <t>Crop / Input</t>
        </is>
      </c>
      <c r="B80" s="139" t="inlineStr">
        <is>
          <t>Value</t>
        </is>
      </c>
      <c r="C80" s="139" t="inlineStr">
        <is>
          <t>Unit</t>
        </is>
      </c>
      <c r="D80" s="139" t="inlineStr">
        <is>
          <t>Frequency</t>
        </is>
      </c>
      <c r="E80" s="139" t="inlineStr">
        <is>
          <t>Applied In</t>
        </is>
      </c>
      <c r="F80" s="139" t="inlineStr">
        <is>
          <t>Notes</t>
        </is>
      </c>
      <c r="G80" s="139" t="inlineStr">
        <is>
          <t>Evidence Status</t>
        </is>
      </c>
      <c r="H80" s="139" t="inlineStr">
        <is>
          <t>Source Sheet</t>
        </is>
      </c>
      <c r="I80" s="139" t="inlineStr">
        <is>
          <t>Formula Link</t>
        </is>
      </c>
      <c r="J80" s="139" t="inlineStr">
        <is>
          <t>Priority</t>
        </is>
      </c>
      <c r="K80" s="241" t="n"/>
    </row>
    <row r="81" ht="16" customHeight="1" s="239">
      <c r="A81" s="241" t="inlineStr">
        <is>
          <t>King Grass harvests</t>
        </is>
      </c>
      <c r="B81" s="217" t="n">
        <v>5</v>
      </c>
      <c r="C81" s="241" t="inlineStr">
        <is>
          <t>harvests/year</t>
        </is>
      </c>
      <c r="D81" s="241" t="inlineStr">
        <is>
          <t>annual</t>
        </is>
      </c>
      <c r="E81" s="241" t="inlineStr">
        <is>
          <t>FEED_FARM</t>
        </is>
      </c>
      <c r="F81" s="241" t="inlineStr">
        <is>
          <t>20 tons/acre/harvest; 100 tons/acre/year</t>
        </is>
      </c>
      <c r="G81" s="241" t="inlineStr">
        <is>
          <t>v10 guide</t>
        </is>
      </c>
      <c r="H81" s="241" t="inlineStr">
        <is>
          <t>FEED_FARM</t>
        </is>
      </c>
      <c r="I81" s="241" t="inlineStr">
        <is>
          <t>FEED_FARM!B61:B63</t>
        </is>
      </c>
      <c r="J81" s="241" t="inlineStr">
        <is>
          <t>High</t>
        </is>
      </c>
      <c r="K81" s="241" t="n"/>
    </row>
    <row r="82" ht="16" customHeight="1" s="239">
      <c r="A82" s="241" t="inlineStr">
        <is>
          <t>Corn Silage crops</t>
        </is>
      </c>
      <c r="B82" s="217" t="n">
        <v>2</v>
      </c>
      <c r="C82" s="241" t="inlineStr">
        <is>
          <t>crops/year</t>
        </is>
      </c>
      <c r="D82" s="241" t="inlineStr">
        <is>
          <t>annual</t>
        </is>
      </c>
      <c r="E82" s="241" t="inlineStr">
        <is>
          <t>FEED_FARM</t>
        </is>
      </c>
      <c r="F82" s="241" t="inlineStr">
        <is>
          <t>18 tons/acre/crop; 36 tons/acre/year</t>
        </is>
      </c>
      <c r="G82" s="241" t="inlineStr">
        <is>
          <t>v10 guide</t>
        </is>
      </c>
      <c r="H82" s="241" t="inlineStr">
        <is>
          <t>FEED_FARM</t>
        </is>
      </c>
      <c r="I82" s="241" t="inlineStr">
        <is>
          <t>FEED_FARM!B67:B69</t>
        </is>
      </c>
      <c r="J82" s="241" t="inlineStr">
        <is>
          <t>High</t>
        </is>
      </c>
      <c r="K82" s="241" t="n"/>
    </row>
    <row r="83" ht="16" customHeight="1" s="239">
      <c r="A83" s="241" t="inlineStr">
        <is>
          <t>Alfalfa harvests</t>
        </is>
      </c>
      <c r="B83" s="217" t="n">
        <v>6</v>
      </c>
      <c r="C83" s="241" t="inlineStr">
        <is>
          <t>harvests/year</t>
        </is>
      </c>
      <c r="D83" s="241" t="inlineStr">
        <is>
          <t>annual</t>
        </is>
      </c>
      <c r="E83" s="241" t="inlineStr">
        <is>
          <t>FEED_FARM</t>
        </is>
      </c>
      <c r="F83" s="241" t="inlineStr">
        <is>
          <t>1.5 tons/acre/harvest; 9 tons/acre/year</t>
        </is>
      </c>
      <c r="G83" s="241" t="inlineStr">
        <is>
          <t>v10 guide</t>
        </is>
      </c>
      <c r="H83" s="241" t="inlineStr">
        <is>
          <t>FEED_FARM</t>
        </is>
      </c>
      <c r="I83" s="241" t="inlineStr">
        <is>
          <t>FEED_FARM!B73:B75</t>
        </is>
      </c>
      <c r="J83" s="241" t="inlineStr">
        <is>
          <t>High</t>
        </is>
      </c>
      <c r="K83" s="241" t="n"/>
    </row>
    <row r="84" ht="16" customHeight="1" s="239">
      <c r="A84" s="241" t="inlineStr">
        <is>
          <t>Soybean crops</t>
        </is>
      </c>
      <c r="B84" s="217" t="n">
        <v>2</v>
      </c>
      <c r="C84" s="241" t="inlineStr">
        <is>
          <t>crops/year</t>
        </is>
      </c>
      <c r="D84" s="241" t="inlineStr">
        <is>
          <t>annual</t>
        </is>
      </c>
      <c r="E84" s="241" t="inlineStr">
        <is>
          <t>FEED_FARM</t>
        </is>
      </c>
      <c r="F84" s="241" t="inlineStr">
        <is>
          <t>1.2 tons/acre/crop; 2.4 tons/acre/year</t>
        </is>
      </c>
      <c r="G84" s="241" t="inlineStr">
        <is>
          <t>v10 guide</t>
        </is>
      </c>
      <c r="H84" s="241" t="inlineStr">
        <is>
          <t>FEED_FARM</t>
        </is>
      </c>
      <c r="I84" s="241" t="inlineStr">
        <is>
          <t>FEED_FARM!B79:B81</t>
        </is>
      </c>
      <c r="J84" s="241" t="inlineStr">
        <is>
          <t>High</t>
        </is>
      </c>
      <c r="K84" s="241" t="n"/>
    </row>
    <row r="85" ht="16" customHeight="1" s="239">
      <c r="A85" s="241" t="inlineStr">
        <is>
          <t>Sesame crops</t>
        </is>
      </c>
      <c r="B85" s="217" t="n">
        <v>2</v>
      </c>
      <c r="C85" s="241" t="inlineStr">
        <is>
          <t>crops/year</t>
        </is>
      </c>
      <c r="D85" s="241" t="inlineStr">
        <is>
          <t>annual</t>
        </is>
      </c>
      <c r="E85" s="241" t="inlineStr">
        <is>
          <t>FEED_FARM</t>
        </is>
      </c>
      <c r="F85" s="241" t="inlineStr">
        <is>
          <t>0.8 tons/acre/crop; 1.6 tons/acre/year</t>
        </is>
      </c>
      <c r="G85" s="241" t="inlineStr">
        <is>
          <t>v10 guide</t>
        </is>
      </c>
      <c r="H85" s="241" t="inlineStr">
        <is>
          <t>FEED_FARM</t>
        </is>
      </c>
      <c r="I85" s="241" t="inlineStr">
        <is>
          <t>FEED_FARM!B85:B87</t>
        </is>
      </c>
      <c r="J85" s="241" t="inlineStr">
        <is>
          <t>High</t>
        </is>
      </c>
      <c r="K85" s="241" t="n"/>
    </row>
    <row r="86" ht="16" customHeight="1" s="239">
      <c r="A86" s="241" t="inlineStr">
        <is>
          <t>King Grass seed</t>
        </is>
      </c>
      <c r="B86" s="217" t="n">
        <v>50000</v>
      </c>
      <c r="C86" s="241" t="inlineStr">
        <is>
          <t>NGN/acre</t>
        </is>
      </c>
      <c r="D86" s="241" t="inlineStr">
        <is>
          <t>annual</t>
        </is>
      </c>
      <c r="E86" s="241" t="inlineStr">
        <is>
          <t>OPEX</t>
        </is>
      </c>
      <c r="F86" s="241" t="inlineStr">
        <is>
          <t>Specific seed cost</t>
        </is>
      </c>
      <c r="G86" s="241" t="inlineStr">
        <is>
          <t>v10 guide</t>
        </is>
      </c>
      <c r="H86" s="241" t="inlineStr">
        <is>
          <t>INPUT_COST_DETAIL</t>
        </is>
      </c>
      <c r="I86" s="241" t="inlineStr">
        <is>
          <t>INPUT_COST_DETAIL!C23</t>
        </is>
      </c>
      <c r="J86" s="241" t="inlineStr">
        <is>
          <t>High</t>
        </is>
      </c>
      <c r="K86" s="241" t="n"/>
    </row>
    <row r="87" ht="16" customHeight="1" s="239">
      <c r="A87" s="241" t="inlineStr">
        <is>
          <t>Alfalfa seed</t>
        </is>
      </c>
      <c r="B87" s="217" t="n">
        <v>120000</v>
      </c>
      <c r="C87" s="241" t="inlineStr">
        <is>
          <t>NGN/acre</t>
        </is>
      </c>
      <c r="D87" s="241" t="inlineStr">
        <is>
          <t>annual</t>
        </is>
      </c>
      <c r="E87" s="241" t="inlineStr">
        <is>
          <t>OPEX</t>
        </is>
      </c>
      <c r="F87" s="241" t="inlineStr">
        <is>
          <t>Specific seed cost</t>
        </is>
      </c>
      <c r="G87" s="241" t="inlineStr">
        <is>
          <t>v10 guide</t>
        </is>
      </c>
      <c r="H87" s="241" t="inlineStr">
        <is>
          <t>INPUT_COST_DETAIL</t>
        </is>
      </c>
      <c r="I87" s="241" t="inlineStr">
        <is>
          <t>INPUT_COST_DETAIL!C24</t>
        </is>
      </c>
      <c r="J87" s="241" t="inlineStr">
        <is>
          <t>High</t>
        </is>
      </c>
      <c r="K87" s="241" t="n"/>
    </row>
    <row r="88" ht="16" customHeight="1" s="239">
      <c r="A88" s="241" t="inlineStr">
        <is>
          <t>Corn seed</t>
        </is>
      </c>
      <c r="B88" s="217" t="n">
        <v>80000</v>
      </c>
      <c r="C88" s="241" t="inlineStr">
        <is>
          <t>NGN/acre</t>
        </is>
      </c>
      <c r="D88" s="241" t="inlineStr">
        <is>
          <t>annual</t>
        </is>
      </c>
      <c r="E88" s="241" t="inlineStr">
        <is>
          <t>OPEX</t>
        </is>
      </c>
      <c r="F88" s="241" t="inlineStr">
        <is>
          <t>Specific seed cost</t>
        </is>
      </c>
      <c r="G88" s="241" t="inlineStr">
        <is>
          <t>v10 guide</t>
        </is>
      </c>
      <c r="H88" s="241" t="inlineStr">
        <is>
          <t>INPUT_COST_DETAIL</t>
        </is>
      </c>
      <c r="I88" s="241" t="inlineStr">
        <is>
          <t>INPUT_COST_DETAIL!C25</t>
        </is>
      </c>
      <c r="J88" s="241" t="inlineStr">
        <is>
          <t>High</t>
        </is>
      </c>
      <c r="K88" s="241" t="n"/>
    </row>
    <row r="89" ht="16" customHeight="1" s="239">
      <c r="A89" s="241" t="inlineStr">
        <is>
          <t>Soybean seed</t>
        </is>
      </c>
      <c r="B89" s="217" t="n">
        <v>40000</v>
      </c>
      <c r="C89" s="241" t="inlineStr">
        <is>
          <t>NGN/acre</t>
        </is>
      </c>
      <c r="D89" s="241" t="inlineStr">
        <is>
          <t>annual</t>
        </is>
      </c>
      <c r="E89" s="241" t="inlineStr">
        <is>
          <t>OPEX</t>
        </is>
      </c>
      <c r="F89" s="241" t="inlineStr">
        <is>
          <t>Specific seed cost</t>
        </is>
      </c>
      <c r="G89" s="241" t="inlineStr">
        <is>
          <t>v10 guide</t>
        </is>
      </c>
      <c r="H89" s="241" t="inlineStr">
        <is>
          <t>INPUT_COST_DETAIL</t>
        </is>
      </c>
      <c r="I89" s="241" t="inlineStr">
        <is>
          <t>INPUT_COST_DETAIL!C26</t>
        </is>
      </c>
      <c r="J89" s="241" t="inlineStr">
        <is>
          <t>High</t>
        </is>
      </c>
      <c r="K89" s="241" t="n"/>
    </row>
    <row r="90" ht="16" customHeight="1" s="239">
      <c r="A90" s="241" t="inlineStr">
        <is>
          <t>Sesame seed</t>
        </is>
      </c>
      <c r="B90" s="217" t="n">
        <v>35000</v>
      </c>
      <c r="C90" s="241" t="inlineStr">
        <is>
          <t>NGN/acre</t>
        </is>
      </c>
      <c r="D90" s="241" t="inlineStr">
        <is>
          <t>annual</t>
        </is>
      </c>
      <c r="E90" s="241" t="inlineStr">
        <is>
          <t>OPEX</t>
        </is>
      </c>
      <c r="F90" s="241" t="inlineStr">
        <is>
          <t>Specific seed cost</t>
        </is>
      </c>
      <c r="G90" s="241" t="inlineStr">
        <is>
          <t>v10 guide</t>
        </is>
      </c>
      <c r="H90" s="241" t="inlineStr">
        <is>
          <t>INPUT_COST_DETAIL</t>
        </is>
      </c>
      <c r="I90" s="241" t="inlineStr">
        <is>
          <t>INPUT_COST_DETAIL!C27</t>
        </is>
      </c>
      <c r="J90" s="241" t="inlineStr">
        <is>
          <t>High</t>
        </is>
      </c>
      <c r="K90" s="241" t="n"/>
    </row>
    <row r="91" ht="16" customHeight="1" s="239">
      <c r="A91" s="241" t="inlineStr">
        <is>
          <t>Fertilizer</t>
        </is>
      </c>
      <c r="B91" s="217" t="n">
        <v>100000</v>
      </c>
      <c r="C91" s="241" t="inlineStr">
        <is>
          <t>NGN/acre</t>
        </is>
      </c>
      <c r="D91" s="241" t="inlineStr">
        <is>
          <t>annual</t>
        </is>
      </c>
      <c r="E91" s="241" t="inlineStr">
        <is>
          <t>OPEX</t>
        </is>
      </c>
      <c r="F91" s="241" t="inlineStr">
        <is>
          <t>Specific feed-farm input cost</t>
        </is>
      </c>
      <c r="G91" s="241" t="inlineStr">
        <is>
          <t>v10 guide</t>
        </is>
      </c>
      <c r="H91" s="241" t="inlineStr">
        <is>
          <t>INPUT_COST_DETAIL</t>
        </is>
      </c>
      <c r="I91" s="241" t="inlineStr">
        <is>
          <t>INPUT_COST_DETAIL!C28</t>
        </is>
      </c>
      <c r="J91" s="241" t="inlineStr">
        <is>
          <t>High</t>
        </is>
      </c>
      <c r="K91" s="241" t="n"/>
    </row>
    <row r="92" ht="16" customHeight="1" s="239">
      <c r="A92" s="241" t="inlineStr">
        <is>
          <t>Herbicide</t>
        </is>
      </c>
      <c r="B92" s="217" t="n">
        <v>25000</v>
      </c>
      <c r="C92" s="241" t="inlineStr">
        <is>
          <t>NGN/acre</t>
        </is>
      </c>
      <c r="D92" s="241" t="inlineStr">
        <is>
          <t>annual</t>
        </is>
      </c>
      <c r="E92" s="241" t="inlineStr">
        <is>
          <t>OPEX</t>
        </is>
      </c>
      <c r="F92" s="241" t="inlineStr">
        <is>
          <t>Specific feed-farm input cost</t>
        </is>
      </c>
      <c r="G92" s="241" t="inlineStr">
        <is>
          <t>v10 guide</t>
        </is>
      </c>
      <c r="H92" s="241" t="inlineStr">
        <is>
          <t>INPUT_COST_DETAIL</t>
        </is>
      </c>
      <c r="I92" s="241" t="inlineStr">
        <is>
          <t>INPUT_COST_DETAIL!C29</t>
        </is>
      </c>
      <c r="J92" s="241" t="inlineStr">
        <is>
          <t>High</t>
        </is>
      </c>
      <c r="K92" s="241" t="n"/>
    </row>
    <row r="93" ht="16" customHeight="1" s="239">
      <c r="A93" s="241" t="inlineStr">
        <is>
          <t>Pesticides</t>
        </is>
      </c>
      <c r="B93" s="217" t="n">
        <v>15000</v>
      </c>
      <c r="C93" s="241" t="inlineStr">
        <is>
          <t>NGN/acre</t>
        </is>
      </c>
      <c r="D93" s="241" t="inlineStr">
        <is>
          <t>annual</t>
        </is>
      </c>
      <c r="E93" s="241" t="inlineStr">
        <is>
          <t>OPEX</t>
        </is>
      </c>
      <c r="F93" s="241" t="inlineStr">
        <is>
          <t>Specific feed-farm input cost</t>
        </is>
      </c>
      <c r="G93" s="241" t="inlineStr">
        <is>
          <t>v10 guide</t>
        </is>
      </c>
      <c r="H93" s="241" t="inlineStr">
        <is>
          <t>INPUT_COST_DETAIL</t>
        </is>
      </c>
      <c r="I93" s="241" t="inlineStr">
        <is>
          <t>INPUT_COST_DETAIL!C30</t>
        </is>
      </c>
      <c r="J93" s="241" t="inlineStr">
        <is>
          <t>High</t>
        </is>
      </c>
      <c r="K93" s="241" t="n"/>
    </row>
    <row r="94" ht="16" customHeight="1" s="239">
      <c r="A94" s="241" t="inlineStr">
        <is>
          <t>Irrigation</t>
        </is>
      </c>
      <c r="B94" s="217" t="n">
        <v>40000</v>
      </c>
      <c r="C94" s="241" t="inlineStr">
        <is>
          <t>NGN/acre</t>
        </is>
      </c>
      <c r="D94" s="241" t="inlineStr">
        <is>
          <t>annual</t>
        </is>
      </c>
      <c r="E94" s="241" t="inlineStr">
        <is>
          <t>OPEX</t>
        </is>
      </c>
      <c r="F94" s="241" t="inlineStr">
        <is>
          <t>Specific feed-farm input cost</t>
        </is>
      </c>
      <c r="G94" s="241" t="inlineStr">
        <is>
          <t>v10 guide</t>
        </is>
      </c>
      <c r="H94" s="241" t="inlineStr">
        <is>
          <t>INPUT_COST_DETAIL</t>
        </is>
      </c>
      <c r="I94" s="241" t="inlineStr">
        <is>
          <t>INPUT_COST_DETAIL!C31</t>
        </is>
      </c>
      <c r="J94" s="241" t="inlineStr">
        <is>
          <t>High</t>
        </is>
      </c>
      <c r="K94" s="241" t="n"/>
    </row>
    <row r="95" ht="16" customHeight="1" s="239">
      <c r="A95" s="241" t="inlineStr">
        <is>
          <t>Tractor operations</t>
        </is>
      </c>
      <c r="B95" s="217" t="n">
        <v>60000</v>
      </c>
      <c r="C95" s="241" t="inlineStr">
        <is>
          <t>NGN/acre</t>
        </is>
      </c>
      <c r="D95" s="241" t="inlineStr">
        <is>
          <t>annual</t>
        </is>
      </c>
      <c r="E95" s="241" t="inlineStr">
        <is>
          <t>OPEX</t>
        </is>
      </c>
      <c r="F95" s="241" t="inlineStr">
        <is>
          <t>Specific feed-farm input cost</t>
        </is>
      </c>
      <c r="G95" s="241" t="inlineStr">
        <is>
          <t>v10 guide</t>
        </is>
      </c>
      <c r="H95" s="241" t="inlineStr">
        <is>
          <t>INPUT_COST_DETAIL</t>
        </is>
      </c>
      <c r="I95" s="241" t="inlineStr">
        <is>
          <t>INPUT_COST_DETAIL!C32</t>
        </is>
      </c>
      <c r="J95" s="241" t="inlineStr">
        <is>
          <t>High</t>
        </is>
      </c>
      <c r="K95" s="241" t="n"/>
    </row>
    <row r="96">
      <c r="A96" s="241" t="n"/>
      <c r="B96" s="241" t="n"/>
      <c r="C96" s="241" t="n"/>
      <c r="D96" s="241" t="n"/>
      <c r="E96" s="241" t="n"/>
      <c r="F96" s="241" t="n"/>
      <c r="G96" s="241" t="n"/>
      <c r="H96" s="241" t="n"/>
      <c r="I96" s="241" t="n"/>
      <c r="J96" s="241" t="n"/>
      <c r="K96" s="241" t="n"/>
    </row>
    <row r="97" ht="16" customHeight="1" s="239">
      <c r="A97" s="141" t="inlineStr">
        <is>
          <t>Dairy Business Unit Assumptions</t>
        </is>
      </c>
      <c r="B97" s="142" t="n"/>
      <c r="C97" s="142" t="n"/>
      <c r="D97" s="142" t="n"/>
      <c r="E97" s="142" t="n"/>
      <c r="F97" s="142" t="n"/>
      <c r="G97" s="142" t="n"/>
      <c r="H97" s="142" t="n"/>
      <c r="I97" s="241" t="n"/>
      <c r="J97" s="241" t="n"/>
      <c r="K97" s="241" t="n"/>
    </row>
    <row r="98" ht="16" customHeight="1" s="239">
      <c r="A98" s="139" t="inlineStr">
        <is>
          <t>Item</t>
        </is>
      </c>
      <c r="B98" s="139" t="inlineStr">
        <is>
          <t>Value</t>
        </is>
      </c>
      <c r="C98" s="139" t="inlineStr">
        <is>
          <t>Unit</t>
        </is>
      </c>
      <c r="D98" s="139" t="inlineStr">
        <is>
          <t>Applied In</t>
        </is>
      </c>
      <c r="E98" s="139" t="inlineStr">
        <is>
          <t>Notes</t>
        </is>
      </c>
      <c r="F98" s="139" t="inlineStr">
        <is>
          <t>Source</t>
        </is>
      </c>
      <c r="G98" s="139" t="inlineStr">
        <is>
          <t>Formula Link</t>
        </is>
      </c>
      <c r="H98" s="139" t="inlineStr">
        <is>
          <t>Priority</t>
        </is>
      </c>
      <c r="I98" s="241" t="n"/>
      <c r="J98" s="241" t="n"/>
      <c r="K98" s="241" t="n"/>
    </row>
    <row r="99" ht="16" customHeight="1" s="239">
      <c r="A99" s="241" t="inlineStr">
        <is>
          <t>Opening dairy cows</t>
        </is>
      </c>
      <c r="B99" s="217" t="n">
        <v>80</v>
      </c>
      <c r="C99" s="241" t="inlineStr">
        <is>
          <t>head</t>
        </is>
      </c>
      <c r="D99" s="241" t="inlineStr">
        <is>
          <t>HERD_MODEL / DAIRY</t>
        </is>
      </c>
      <c r="E99" s="241" t="inlineStr">
        <is>
          <t>Opening Bokolo cows</t>
        </is>
      </c>
      <c r="F99" s="241" t="inlineStr">
        <is>
          <t>v10 guide</t>
        </is>
      </c>
      <c r="G99" s="241" t="inlineStr">
        <is>
          <t>ASSUMPTIONS!B17</t>
        </is>
      </c>
      <c r="H99" s="241" t="inlineStr">
        <is>
          <t>High</t>
        </is>
      </c>
      <c r="I99" s="241" t="n"/>
      <c r="J99" s="241" t="n"/>
      <c r="K99" s="241" t="n"/>
    </row>
    <row r="100" ht="16" customHeight="1" s="239">
      <c r="A100" s="241" t="inlineStr">
        <is>
          <t>Opening breeding bulls</t>
        </is>
      </c>
      <c r="B100" s="217" t="n">
        <v>6</v>
      </c>
      <c r="C100" s="241" t="inlineStr">
        <is>
          <t>head</t>
        </is>
      </c>
      <c r="D100" s="241" t="inlineStr">
        <is>
          <t>HERD_MODEL</t>
        </is>
      </c>
      <c r="E100" s="241" t="inlineStr">
        <is>
          <t>Friesian breeding bulls</t>
        </is>
      </c>
      <c r="F100" s="241" t="inlineStr">
        <is>
          <t>v10 guide</t>
        </is>
      </c>
      <c r="G100" s="241" t="inlineStr">
        <is>
          <t>ASSUMPTIONS!B57</t>
        </is>
      </c>
      <c r="H100" s="241" t="inlineStr">
        <is>
          <t>High</t>
        </is>
      </c>
      <c r="I100" s="241" t="n"/>
      <c r="J100" s="241" t="n"/>
      <c r="K100" s="241" t="n"/>
    </row>
    <row r="101" ht="16" customHeight="1" s="239">
      <c r="A101" s="241" t="inlineStr">
        <is>
          <t>Cow purchase cost</t>
        </is>
      </c>
      <c r="B101" s="217" t="n">
        <v>600000</v>
      </c>
      <c r="C101" s="241" t="inlineStr">
        <is>
          <t>NGN/head</t>
        </is>
      </c>
      <c r="D101" s="241" t="inlineStr">
        <is>
          <t>CAPEX</t>
        </is>
      </c>
      <c r="E101" s="241" t="inlineStr">
        <is>
          <t>Phase 1 opening herd</t>
        </is>
      </c>
      <c r="F101" s="241" t="inlineStr">
        <is>
          <t>v10 guide</t>
        </is>
      </c>
      <c r="G101" s="241" t="inlineStr">
        <is>
          <t>ASSUMPTIONS!C56</t>
        </is>
      </c>
      <c r="H101" s="241" t="inlineStr">
        <is>
          <t>High</t>
        </is>
      </c>
      <c r="I101" s="241" t="n"/>
      <c r="J101" s="241" t="n"/>
      <c r="K101" s="241" t="n"/>
    </row>
    <row r="102" ht="16" customHeight="1" s="239">
      <c r="A102" s="241" t="inlineStr">
        <is>
          <t>Breeding bull purchase cost</t>
        </is>
      </c>
      <c r="B102" s="215" t="n">
        <v>2500000</v>
      </c>
      <c r="C102" s="198" t="inlineStr">
        <is>
          <t>NGN/head</t>
        </is>
      </c>
      <c r="D102" s="198" t="inlineStr">
        <is>
          <t>CAPEX</t>
        </is>
      </c>
      <c r="E102" s="198" t="inlineStr">
        <is>
          <t>Phase 1 breeding stock</t>
        </is>
      </c>
      <c r="F102" s="198" t="inlineStr">
        <is>
          <t>v10 guide</t>
        </is>
      </c>
      <c r="G102" s="198" t="inlineStr">
        <is>
          <t>ASSUMPTIONS!C57</t>
        </is>
      </c>
      <c r="H102" s="198" t="inlineStr">
        <is>
          <t>High</t>
        </is>
      </c>
      <c r="I102" s="198" t="n"/>
      <c r="J102" s="198" t="n"/>
      <c r="K102" s="198" t="n"/>
    </row>
    <row r="103" ht="32" customHeight="1" s="239">
      <c r="A103" s="241" t="inlineStr">
        <is>
          <t>Lactation rate</t>
        </is>
      </c>
      <c r="B103" s="217">
        <f>IFERROR(B26,"")</f>
        <v/>
      </c>
      <c r="C103" s="241" t="inlineStr">
        <is>
          <t>%</t>
        </is>
      </c>
      <c r="D103" s="241" t="inlineStr">
        <is>
          <t>DAIRY / PRODUCTION</t>
        </is>
      </c>
      <c r="E103" s="241" t="inlineStr">
        <is>
          <t>Linked existing model assumption</t>
        </is>
      </c>
      <c r="F103" s="241" t="inlineStr">
        <is>
          <t>Current model</t>
        </is>
      </c>
      <c r="G103" s="241" t="inlineStr">
        <is>
          <t>ASSUMPTIONS!B24</t>
        </is>
      </c>
      <c r="H103" s="241" t="inlineStr">
        <is>
          <t>High</t>
        </is>
      </c>
      <c r="I103" s="241" t="n"/>
      <c r="J103" s="241" t="n"/>
      <c r="K103" s="241" t="n"/>
    </row>
    <row r="104" ht="32" customHeight="1" s="239">
      <c r="A104" s="241" t="inlineStr">
        <is>
          <t>Milking days</t>
        </is>
      </c>
      <c r="B104" s="217">
        <f>IFERROR(B27,"")</f>
        <v/>
      </c>
      <c r="C104" s="241" t="inlineStr">
        <is>
          <t>days/year</t>
        </is>
      </c>
      <c r="D104" s="241" t="inlineStr">
        <is>
          <t>DAIRY / PRODUCTION</t>
        </is>
      </c>
      <c r="E104" s="241" t="inlineStr">
        <is>
          <t>Linked existing model assumption</t>
        </is>
      </c>
      <c r="F104" s="241" t="inlineStr">
        <is>
          <t>Current model</t>
        </is>
      </c>
      <c r="G104" s="241" t="inlineStr">
        <is>
          <t>ASSUMPTIONS!B25</t>
        </is>
      </c>
      <c r="H104" s="241" t="inlineStr">
        <is>
          <t>High</t>
        </is>
      </c>
      <c r="I104" s="241" t="n"/>
      <c r="J104" s="241" t="n"/>
      <c r="K104" s="241" t="n"/>
    </row>
    <row r="105">
      <c r="A105" s="241" t="n"/>
      <c r="B105" s="241" t="n"/>
      <c r="C105" s="241" t="n"/>
      <c r="D105" s="241" t="n"/>
      <c r="E105" s="241" t="n"/>
      <c r="F105" s="241" t="n"/>
      <c r="G105" s="241" t="n"/>
      <c r="H105" s="241" t="n"/>
      <c r="I105" s="241" t="n"/>
      <c r="J105" s="241" t="n"/>
      <c r="K105" s="241" t="n"/>
    </row>
    <row r="106" ht="16" customHeight="1" s="239">
      <c r="A106" s="141" t="inlineStr">
        <is>
          <t>Fattening Business Unit Assumptions</t>
        </is>
      </c>
      <c r="B106" s="142" t="n"/>
      <c r="C106" s="142" t="n"/>
      <c r="D106" s="142" t="n"/>
      <c r="E106" s="142" t="n"/>
      <c r="F106" s="142" t="n"/>
      <c r="G106" s="142" t="n"/>
      <c r="H106" s="142" t="n"/>
      <c r="I106" s="241" t="n"/>
      <c r="J106" s="241" t="n"/>
      <c r="K106" s="241" t="n"/>
    </row>
    <row r="107" ht="16" customHeight="1" s="239">
      <c r="A107" s="139" t="inlineStr">
        <is>
          <t>Item</t>
        </is>
      </c>
      <c r="B107" s="139" t="inlineStr">
        <is>
          <t>Value</t>
        </is>
      </c>
      <c r="C107" s="139" t="inlineStr">
        <is>
          <t>Unit</t>
        </is>
      </c>
      <c r="D107" s="139" t="inlineStr">
        <is>
          <t>Applied In</t>
        </is>
      </c>
      <c r="E107" s="139" t="inlineStr">
        <is>
          <t>Notes</t>
        </is>
      </c>
      <c r="F107" s="139" t="inlineStr">
        <is>
          <t>Source</t>
        </is>
      </c>
      <c r="G107" s="139" t="inlineStr">
        <is>
          <t>Formula Link</t>
        </is>
      </c>
      <c r="H107" s="139" t="inlineStr">
        <is>
          <t>Priority</t>
        </is>
      </c>
      <c r="I107" s="241" t="n"/>
      <c r="J107" s="241" t="n"/>
      <c r="K107" s="241" t="n"/>
    </row>
    <row r="108" ht="16" customHeight="1" s="239">
      <c r="A108" s="241" t="inlineStr">
        <is>
          <t>Opening fattening bulls</t>
        </is>
      </c>
      <c r="B108" s="217" t="n">
        <v>40</v>
      </c>
      <c r="C108" s="241" t="inlineStr">
        <is>
          <t>head</t>
        </is>
      </c>
      <c r="D108" s="241" t="inlineStr">
        <is>
          <t>FATTENING</t>
        </is>
      </c>
      <c r="E108" s="241" t="inlineStr">
        <is>
          <t>Initial feedlot inventory</t>
        </is>
      </c>
      <c r="F108" s="241" t="inlineStr">
        <is>
          <t>v10 guide</t>
        </is>
      </c>
      <c r="G108" s="241" t="inlineStr">
        <is>
          <t>BULL_FATTENING!B4</t>
        </is>
      </c>
      <c r="H108" s="241" t="inlineStr">
        <is>
          <t>High</t>
        </is>
      </c>
      <c r="I108" s="241" t="n"/>
      <c r="J108" s="241" t="n"/>
      <c r="K108" s="241" t="n"/>
    </row>
    <row r="109" ht="16" customHeight="1" s="239">
      <c r="A109" s="241" t="inlineStr">
        <is>
          <t>Young bull purchase price</t>
        </is>
      </c>
      <c r="B109" s="215" t="n">
        <v>500000</v>
      </c>
      <c r="C109" s="198" t="inlineStr">
        <is>
          <t>NGN/head</t>
        </is>
      </c>
      <c r="D109" s="198" t="inlineStr">
        <is>
          <t>FATTENING / CAPEX</t>
        </is>
      </c>
      <c r="E109" s="198" t="inlineStr">
        <is>
          <t>Purchased bulls</t>
        </is>
      </c>
      <c r="F109" s="198" t="inlineStr">
        <is>
          <t>v10 guide</t>
        </is>
      </c>
      <c r="G109" s="198" t="inlineStr">
        <is>
          <t>INPUT_COST_DETAIL!C4</t>
        </is>
      </c>
      <c r="H109" s="198" t="inlineStr">
        <is>
          <t>High</t>
        </is>
      </c>
      <c r="I109" s="198" t="n"/>
      <c r="J109" s="198" t="n"/>
      <c r="K109" s="198" t="n"/>
    </row>
    <row r="110" ht="16" customHeight="1" s="239">
      <c r="A110" s="241" t="inlineStr">
        <is>
          <t>Entry weight</t>
        </is>
      </c>
      <c r="B110" s="217" t="n">
        <v>180</v>
      </c>
      <c r="C110" s="241" t="inlineStr">
        <is>
          <t>kg/head</t>
        </is>
      </c>
      <c r="D110" s="241" t="inlineStr">
        <is>
          <t>FATTENING</t>
        </is>
      </c>
      <c r="E110" s="241" t="inlineStr">
        <is>
          <t>Starting weight</t>
        </is>
      </c>
      <c r="F110" s="241" t="inlineStr">
        <is>
          <t>v10 guide</t>
        </is>
      </c>
      <c r="G110" s="241" t="inlineStr">
        <is>
          <t>INPUT_COST_DETAIL!C5</t>
        </is>
      </c>
      <c r="H110" s="241" t="inlineStr">
        <is>
          <t>High</t>
        </is>
      </c>
      <c r="I110" s="241" t="n"/>
      <c r="J110" s="241" t="n"/>
      <c r="K110" s="241" t="n"/>
    </row>
    <row r="111" ht="16" customHeight="1" s="239">
      <c r="A111" s="241" t="inlineStr">
        <is>
          <t>ADG</t>
        </is>
      </c>
      <c r="B111" s="217" t="n">
        <v>1.425</v>
      </c>
      <c r="C111" s="241" t="inlineStr">
        <is>
          <t>kg/day</t>
        </is>
      </c>
      <c r="D111" s="241" t="inlineStr">
        <is>
          <t>FATTENING</t>
        </is>
      </c>
      <c r="E111" s="241" t="inlineStr">
        <is>
          <t>Base guide uses 1.425kg/day</t>
        </is>
      </c>
      <c r="F111" s="241" t="inlineStr">
        <is>
          <t>v10 guide</t>
        </is>
      </c>
      <c r="G111" s="241" t="inlineStr">
        <is>
          <t>INPUT_COST_DETAIL!C6</t>
        </is>
      </c>
      <c r="H111" s="241" t="inlineStr">
        <is>
          <t>High</t>
        </is>
      </c>
      <c r="I111" s="241" t="n"/>
      <c r="J111" s="241" t="n"/>
      <c r="K111" s="241" t="n"/>
    </row>
    <row r="112" ht="16" customHeight="1" s="239">
      <c r="A112" s="241" t="inlineStr">
        <is>
          <t>Feeding period</t>
        </is>
      </c>
      <c r="B112" s="217" t="n">
        <v>120</v>
      </c>
      <c r="C112" s="241" t="inlineStr">
        <is>
          <t>days</t>
        </is>
      </c>
      <c r="D112" s="241" t="inlineStr">
        <is>
          <t>FATTENING</t>
        </is>
      </c>
      <c r="E112" s="241" t="inlineStr">
        <is>
          <t>120-day cycle</t>
        </is>
      </c>
      <c r="F112" s="241" t="inlineStr">
        <is>
          <t>v10 guide</t>
        </is>
      </c>
      <c r="G112" s="241" t="inlineStr">
        <is>
          <t>INPUT_COST_DETAIL!C7</t>
        </is>
      </c>
      <c r="H112" s="241" t="inlineStr">
        <is>
          <t>High</t>
        </is>
      </c>
      <c r="I112" s="241" t="n"/>
      <c r="J112" s="241" t="n"/>
      <c r="K112" s="241" t="n"/>
    </row>
    <row r="113" ht="16" customHeight="1" s="239">
      <c r="A113" s="241" t="inlineStr">
        <is>
          <t>Mortality</t>
        </is>
      </c>
      <c r="B113" s="217" t="n">
        <v>0.02</v>
      </c>
      <c r="C113" s="241" t="inlineStr">
        <is>
          <t>%</t>
        </is>
      </c>
      <c r="D113" s="241" t="inlineStr">
        <is>
          <t>FATTENING</t>
        </is>
      </c>
      <c r="E113" s="241" t="inlineStr">
        <is>
          <t>Mortality adjustment</t>
        </is>
      </c>
      <c r="F113" s="241" t="inlineStr">
        <is>
          <t>v10 guide</t>
        </is>
      </c>
      <c r="G113" s="241" t="inlineStr">
        <is>
          <t>BULL_FATTENING!B12</t>
        </is>
      </c>
      <c r="H113" s="241" t="inlineStr">
        <is>
          <t>High</t>
        </is>
      </c>
      <c r="I113" s="241" t="n"/>
      <c r="J113" s="241" t="n"/>
      <c r="K113" s="241" t="n"/>
    </row>
    <row r="114" ht="32" customHeight="1" s="239">
      <c r="A114" s="241" t="inlineStr">
        <is>
          <t>Base FCR</t>
        </is>
      </c>
      <c r="B114" s="217" t="n">
        <v>8</v>
      </c>
      <c r="C114" s="241" t="inlineStr">
        <is>
          <t>kg feed/kg gain</t>
        </is>
      </c>
      <c r="D114" s="241" t="inlineStr">
        <is>
          <t>FATTENING / FEED_FARM</t>
        </is>
      </c>
      <c r="E114" s="241" t="inlineStr">
        <is>
          <t>Base feed conversion ratio</t>
        </is>
      </c>
      <c r="F114" s="241" t="inlineStr">
        <is>
          <t>v10 guide</t>
        </is>
      </c>
      <c r="G114" s="241" t="inlineStr">
        <is>
          <t>SENSITIVITY stress grid</t>
        </is>
      </c>
      <c r="H114" s="241" t="inlineStr">
        <is>
          <t>High</t>
        </is>
      </c>
      <c r="I114" s="241" t="n"/>
      <c r="J114" s="241" t="n"/>
      <c r="K114" s="241" t="n"/>
    </row>
    <row r="115" ht="32" customHeight="1" s="239">
      <c r="A115" s="241" t="inlineStr">
        <is>
          <t>Bear FCR</t>
        </is>
      </c>
      <c r="B115" s="217" t="n">
        <v>9</v>
      </c>
      <c r="C115" s="241" t="inlineStr">
        <is>
          <t>kg feed/kg gain</t>
        </is>
      </c>
      <c r="D115" s="241" t="inlineStr">
        <is>
          <t>SCENARIOS_SENSITIVITY</t>
        </is>
      </c>
      <c r="E115" s="241" t="inlineStr">
        <is>
          <t>Bear case FCR</t>
        </is>
      </c>
      <c r="F115" s="241" t="inlineStr">
        <is>
          <t>v10 guide</t>
        </is>
      </c>
      <c r="G115" s="241" t="inlineStr">
        <is>
          <t>SENSITIVITY stress grid</t>
        </is>
      </c>
      <c r="H115" s="241" t="inlineStr">
        <is>
          <t>Medium</t>
        </is>
      </c>
      <c r="I115" s="241" t="n"/>
      <c r="J115" s="241" t="n"/>
      <c r="K115" s="241" t="n"/>
    </row>
    <row r="116" ht="32" customHeight="1" s="239">
      <c r="A116" s="241" t="inlineStr">
        <is>
          <t>Bull FCR</t>
        </is>
      </c>
      <c r="B116" s="217" t="n">
        <v>7</v>
      </c>
      <c r="C116" s="241" t="inlineStr">
        <is>
          <t>kg feed/kg gain</t>
        </is>
      </c>
      <c r="D116" s="241" t="inlineStr">
        <is>
          <t>SCENARIOS_SENSITIVITY</t>
        </is>
      </c>
      <c r="E116" s="241" t="inlineStr">
        <is>
          <t>Bull case FCR</t>
        </is>
      </c>
      <c r="F116" s="241" t="inlineStr">
        <is>
          <t>v10 guide</t>
        </is>
      </c>
      <c r="G116" s="241" t="inlineStr">
        <is>
          <t>SENSITIVITY stress grid</t>
        </is>
      </c>
      <c r="H116" s="241" t="inlineStr">
        <is>
          <t>Medium</t>
        </is>
      </c>
      <c r="I116" s="241" t="n"/>
      <c r="J116" s="241" t="n"/>
      <c r="K116" s="241" t="n"/>
    </row>
    <row r="117">
      <c r="A117" s="241" t="n"/>
      <c r="B117" s="241" t="n"/>
      <c r="C117" s="241" t="n"/>
      <c r="D117" s="241" t="n"/>
      <c r="E117" s="241" t="n"/>
      <c r="F117" s="241" t="n"/>
      <c r="G117" s="241" t="n"/>
      <c r="H117" s="241" t="n"/>
      <c r="I117" s="241" t="n"/>
      <c r="J117" s="241" t="n"/>
      <c r="K117" s="241" t="n"/>
    </row>
    <row r="118" ht="32" customHeight="1" s="239">
      <c r="A118" s="141" t="inlineStr">
        <is>
          <t>Logistics, Transfer Pricing And Working Capital</t>
        </is>
      </c>
      <c r="B118" s="142" t="n"/>
      <c r="C118" s="142" t="n"/>
      <c r="D118" s="142" t="n"/>
      <c r="E118" s="142" t="n"/>
      <c r="F118" s="142" t="n"/>
      <c r="G118" s="142" t="n"/>
      <c r="H118" s="142" t="n"/>
      <c r="I118" s="241" t="n"/>
      <c r="J118" s="241" t="n"/>
      <c r="K118" s="241" t="n"/>
    </row>
    <row r="119" ht="16" customHeight="1" s="239">
      <c r="A119" s="139" t="inlineStr">
        <is>
          <t>Item</t>
        </is>
      </c>
      <c r="B119" s="139" t="inlineStr">
        <is>
          <t>Value</t>
        </is>
      </c>
      <c r="C119" s="139" t="inlineStr">
        <is>
          <t>Unit</t>
        </is>
      </c>
      <c r="D119" s="139" t="inlineStr">
        <is>
          <t>Applied In</t>
        </is>
      </c>
      <c r="E119" s="139" t="inlineStr">
        <is>
          <t>Notes</t>
        </is>
      </c>
      <c r="F119" s="139" t="inlineStr">
        <is>
          <t>Source</t>
        </is>
      </c>
      <c r="G119" s="139" t="inlineStr">
        <is>
          <t>Formula Link</t>
        </is>
      </c>
      <c r="H119" s="139" t="inlineStr">
        <is>
          <t>Priority</t>
        </is>
      </c>
      <c r="I119" s="241" t="n"/>
      <c r="J119" s="241" t="n"/>
      <c r="K119" s="241" t="n"/>
    </row>
    <row r="120" ht="16" customHeight="1" s="239">
      <c r="A120" s="155" t="inlineStr">
        <is>
          <t>King Grass Silage transfer price</t>
        </is>
      </c>
      <c r="B120" s="217" t="n">
        <v>45000</v>
      </c>
      <c r="C120" s="241" t="inlineStr">
        <is>
          <t>NGN/ton</t>
        </is>
      </c>
      <c r="D120" s="241" t="inlineStr">
        <is>
          <t>TRANSFER_PRICING</t>
        </is>
      </c>
      <c r="E120" s="241" t="inlineStr">
        <is>
          <t>Internal feed transfer</t>
        </is>
      </c>
      <c r="F120" s="241" t="inlineStr">
        <is>
          <t>v10 guide</t>
        </is>
      </c>
      <c r="G120" s="241" t="inlineStr">
        <is>
          <t>TRANSFER_PRICING!E4</t>
        </is>
      </c>
      <c r="H120" s="241" t="inlineStr">
        <is>
          <t>High</t>
        </is>
      </c>
      <c r="I120" s="241" t="n"/>
      <c r="J120" s="241" t="n"/>
      <c r="K120" s="241" t="n"/>
    </row>
    <row r="121" ht="16" customHeight="1" s="239">
      <c r="A121" s="155" t="inlineStr">
        <is>
          <t>Alfalfa Hay transfer price</t>
        </is>
      </c>
      <c r="B121" s="217" t="n">
        <v>60000</v>
      </c>
      <c r="C121" s="241" t="inlineStr">
        <is>
          <t>NGN/ton</t>
        </is>
      </c>
      <c r="D121" s="241" t="inlineStr">
        <is>
          <t>TRANSFER_PRICING</t>
        </is>
      </c>
      <c r="E121" s="241" t="inlineStr">
        <is>
          <t>Internal feed transfer</t>
        </is>
      </c>
      <c r="F121" s="241" t="inlineStr">
        <is>
          <t>v10 guide</t>
        </is>
      </c>
      <c r="G121" s="241" t="inlineStr">
        <is>
          <t>TRANSFER_PRICING!E5</t>
        </is>
      </c>
      <c r="H121" s="241" t="inlineStr">
        <is>
          <t>High</t>
        </is>
      </c>
      <c r="I121" s="241" t="n"/>
      <c r="J121" s="241" t="n"/>
      <c r="K121" s="241" t="n"/>
    </row>
    <row r="122" ht="16" customHeight="1" s="239">
      <c r="A122" s="241" t="inlineStr">
        <is>
          <t>Corn silage transfer price</t>
        </is>
      </c>
      <c r="B122" s="217" t="n">
        <v>55000</v>
      </c>
      <c r="C122" s="241" t="inlineStr">
        <is>
          <t>NGN/ton</t>
        </is>
      </c>
      <c r="D122" s="241" t="inlineStr">
        <is>
          <t>TRANSFER_PRICING</t>
        </is>
      </c>
      <c r="E122" s="241" t="inlineStr">
        <is>
          <t>Internal feed transfer</t>
        </is>
      </c>
      <c r="F122" s="241" t="inlineStr">
        <is>
          <t>v10 guide</t>
        </is>
      </c>
      <c r="G122" s="241" t="inlineStr">
        <is>
          <t>TRANSFER_PRICING!E6</t>
        </is>
      </c>
      <c r="H122" s="241" t="inlineStr">
        <is>
          <t>High</t>
        </is>
      </c>
      <c r="I122" s="241" t="n"/>
      <c r="J122" s="241" t="n"/>
      <c r="K122" s="241" t="n"/>
    </row>
    <row r="123">
      <c r="A123" s="241" t="n"/>
      <c r="B123" s="217" t="n"/>
      <c r="C123" s="241" t="n"/>
      <c r="D123" s="241" t="n"/>
      <c r="E123" s="241" t="n"/>
      <c r="F123" s="241" t="n"/>
      <c r="G123" s="241" t="n"/>
      <c r="H123" s="241" t="n"/>
      <c r="I123" s="241" t="n"/>
      <c r="J123" s="241" t="n"/>
      <c r="K123" s="241" t="n"/>
    </row>
    <row r="124">
      <c r="A124" s="241" t="n"/>
      <c r="B124" s="217" t="n"/>
      <c r="C124" s="241" t="n"/>
      <c r="D124" s="241" t="n"/>
      <c r="E124" s="241" t="n"/>
      <c r="F124" s="241" t="n"/>
      <c r="G124" s="241" t="n"/>
      <c r="H124" s="241" t="n"/>
      <c r="I124" s="241" t="n"/>
      <c r="J124" s="241" t="n"/>
      <c r="K124" s="241" t="n"/>
    </row>
    <row r="125" ht="16" customHeight="1" s="239">
      <c r="A125" s="241" t="inlineStr">
        <is>
          <t>Water transfer pricing</t>
        </is>
      </c>
      <c r="B125" s="241" t="inlineStr">
        <is>
          <t>Cost +10%</t>
        </is>
      </c>
      <c r="C125" s="241" t="inlineStr">
        <is>
          <t>markup</t>
        </is>
      </c>
      <c r="D125" s="241" t="inlineStr">
        <is>
          <t>TRANSFER_PRICING</t>
        </is>
      </c>
      <c r="E125" s="241" t="inlineStr">
        <is>
          <t>Internal water/service charge</t>
        </is>
      </c>
      <c r="F125" s="241" t="inlineStr">
        <is>
          <t>v10 guide</t>
        </is>
      </c>
      <c r="G125" s="241" t="inlineStr">
        <is>
          <t>TRANSFER_PRICING!D7</t>
        </is>
      </c>
      <c r="H125" s="241" t="inlineStr">
        <is>
          <t>Medium</t>
        </is>
      </c>
      <c r="I125" s="241" t="n"/>
      <c r="J125" s="241" t="n"/>
      <c r="K125" s="241" t="n"/>
    </row>
    <row r="126" ht="16" customHeight="1" s="239">
      <c r="A126" s="241" t="inlineStr">
        <is>
          <t>Logistics transfer pricing</t>
        </is>
      </c>
      <c r="B126" s="241" t="inlineStr">
        <is>
          <t>Cost +15%</t>
        </is>
      </c>
      <c r="C126" s="241" t="inlineStr">
        <is>
          <t>markup</t>
        </is>
      </c>
      <c r="D126" s="241" t="inlineStr">
        <is>
          <t>LOGISTICS</t>
        </is>
      </c>
      <c r="E126" s="241" t="inlineStr">
        <is>
          <t>Internal transport services</t>
        </is>
      </c>
      <c r="F126" s="241" t="inlineStr">
        <is>
          <t>v10 guide</t>
        </is>
      </c>
      <c r="G126" s="241" t="inlineStr">
        <is>
          <t>TRANSFER_PRICING!D8</t>
        </is>
      </c>
      <c r="H126" s="241" t="inlineStr">
        <is>
          <t>Medium</t>
        </is>
      </c>
      <c r="I126" s="241" t="n"/>
      <c r="J126" s="241" t="n"/>
      <c r="K126" s="241" t="n"/>
    </row>
    <row r="127" ht="16" customHeight="1" s="239">
      <c r="A127" s="241" t="inlineStr">
        <is>
          <t>Accounts receivable days</t>
        </is>
      </c>
      <c r="B127" s="217" t="n">
        <v>45</v>
      </c>
      <c r="C127" s="241" t="inlineStr">
        <is>
          <t>days</t>
        </is>
      </c>
      <c r="D127" s="241" t="inlineStr">
        <is>
          <t>WORKING_CAPITAL</t>
        </is>
      </c>
      <c r="E127" s="241" t="inlineStr">
        <is>
          <t>All business units</t>
        </is>
      </c>
      <c r="F127" s="241" t="inlineStr">
        <is>
          <t>v10 guide</t>
        </is>
      </c>
      <c r="G127" s="241" t="inlineStr">
        <is>
          <t>ASSUMPTIONS!B13</t>
        </is>
      </c>
      <c r="H127" s="241" t="inlineStr">
        <is>
          <t>High</t>
        </is>
      </c>
      <c r="I127" s="241" t="n"/>
      <c r="J127" s="241" t="n"/>
      <c r="K127" s="241" t="n"/>
    </row>
    <row r="128" ht="16" customHeight="1" s="239">
      <c r="A128" s="241" t="inlineStr">
        <is>
          <t>Inventory days</t>
        </is>
      </c>
      <c r="B128" s="217" t="n">
        <v>90</v>
      </c>
      <c r="C128" s="241" t="inlineStr">
        <is>
          <t>days</t>
        </is>
      </c>
      <c r="D128" s="241" t="inlineStr">
        <is>
          <t>WORKING_CAPITAL</t>
        </is>
      </c>
      <c r="E128" s="241" t="inlineStr">
        <is>
          <t>All business units</t>
        </is>
      </c>
      <c r="F128" s="241" t="inlineStr">
        <is>
          <t>v10 guide</t>
        </is>
      </c>
      <c r="G128" s="241" t="inlineStr">
        <is>
          <t>ASSUMPTIONS!B14</t>
        </is>
      </c>
      <c r="H128" s="241" t="inlineStr">
        <is>
          <t>High</t>
        </is>
      </c>
      <c r="I128" s="241" t="n"/>
      <c r="J128" s="241" t="n"/>
      <c r="K128" s="241" t="n"/>
    </row>
    <row r="129" ht="16" customHeight="1" s="239">
      <c r="A129" s="241" t="inlineStr">
        <is>
          <t>Accounts payable days</t>
        </is>
      </c>
      <c r="B129" s="217" t="n">
        <v>45</v>
      </c>
      <c r="C129" s="241" t="inlineStr">
        <is>
          <t>days</t>
        </is>
      </c>
      <c r="D129" s="241" t="inlineStr">
        <is>
          <t>WORKING_CAPITAL</t>
        </is>
      </c>
      <c r="E129" s="241" t="inlineStr">
        <is>
          <t>All business units</t>
        </is>
      </c>
      <c r="F129" s="241" t="inlineStr">
        <is>
          <t>v10 guide</t>
        </is>
      </c>
      <c r="G129" s="241" t="inlineStr">
        <is>
          <t>ASSUMPTIONS!B15</t>
        </is>
      </c>
      <c r="H129" s="241" t="inlineStr">
        <is>
          <t>High</t>
        </is>
      </c>
      <c r="I129" s="241" t="n"/>
      <c r="J129" s="241" t="n"/>
      <c r="K129" s="241" t="n"/>
    </row>
    <row r="130">
      <c r="A130" t="inlineStr">
        <is>
          <t>Bull veterinary cost</t>
        </is>
      </c>
      <c r="B130" t="n">
        <v>27500</v>
      </c>
      <c r="C130" t="inlineStr">
        <is>
          <t>NGN/head/cycle</t>
        </is>
      </c>
      <c r="D130" t="inlineStr">
        <is>
          <t>FATTENING</t>
        </is>
      </c>
      <c r="E130" t="inlineStr">
        <is>
          <t>Specific per-head cycle vet cost</t>
        </is>
      </c>
    </row>
    <row r="131">
      <c r="A131" t="inlineStr">
        <is>
          <t>Bull labour cost</t>
        </is>
      </c>
      <c r="B131" t="n">
        <v>25000</v>
      </c>
      <c r="C131" t="inlineStr">
        <is>
          <t>NGN/head/cycle</t>
        </is>
      </c>
      <c r="D131" t="inlineStr">
        <is>
          <t>FATTENING</t>
        </is>
      </c>
      <c r="E131" t="inlineStr">
        <is>
          <t>Specific labour allocation per fattening cycle</t>
        </is>
      </c>
    </row>
    <row r="132">
      <c r="A132" t="inlineStr">
        <is>
          <t>Feedlot ration cost</t>
        </is>
      </c>
      <c r="B132" t="n">
        <v>1800</v>
      </c>
      <c r="C132" t="inlineStr">
        <is>
          <t>NGN/head/day</t>
        </is>
      </c>
      <c r="D132" t="inlineStr">
        <is>
          <t>FATTENING</t>
        </is>
      </c>
      <c r="E132" t="inlineStr">
        <is>
          <t>Daily feed cost for fattening bulls</t>
        </is>
      </c>
    </row>
    <row r="133">
      <c r="A133" t="inlineStr">
        <is>
          <t>Feed transfer margin</t>
        </is>
      </c>
      <c r="B133" t="n">
        <v>0.1</v>
      </c>
      <c r="C133" t="inlineStr">
        <is>
          <t>% markup</t>
        </is>
      </c>
      <c r="D133" t="inlineStr">
        <is>
          <t>TRANSFER_PRICING</t>
        </is>
      </c>
      <c r="E133" t="inlineStr">
        <is>
          <t>Cost-plus feed transfer price</t>
        </is>
      </c>
    </row>
    <row r="134">
      <c r="A134" t="inlineStr">
        <is>
          <t>Cold logistics internal cost</t>
        </is>
      </c>
      <c r="B134" t="n">
        <v>120</v>
      </c>
      <c r="C134" t="inlineStr">
        <is>
          <t>NGN/unit</t>
        </is>
      </c>
      <c r="D134" t="inlineStr">
        <is>
          <t>LOGISTICS</t>
        </is>
      </c>
      <c r="E134" t="inlineStr">
        <is>
          <t>Internal cold-chain handling cost</t>
        </is>
      </c>
    </row>
    <row r="135">
      <c r="A135" s="264" t="inlineStr">
        <is>
          <t>Cold logistics charge-out margin</t>
        </is>
      </c>
      <c r="B135" t="n">
        <v>0.15</v>
      </c>
      <c r="C135" t="inlineStr">
        <is>
          <t>% markup</t>
        </is>
      </c>
      <c r="D135" t="inlineStr">
        <is>
          <t>LOGISTICS</t>
        </is>
      </c>
      <c r="E135" t="inlineStr">
        <is>
          <t>Cost-plus logistics margin</t>
        </is>
      </c>
      <c r="M135" s="264" t="inlineStr">
        <is>
          <t>Governance Dashboard</t>
        </is>
      </c>
    </row>
    <row r="136">
      <c r="A136" s="265" t="inlineStr">
        <is>
          <t>Water service cost</t>
        </is>
      </c>
      <c r="B136" s="265" t="n">
        <v>150</v>
      </c>
      <c r="C136" s="265" t="inlineStr">
        <is>
          <t>NGN/unit</t>
        </is>
      </c>
      <c r="D136" s="265" t="inlineStr">
        <is>
          <t>TRANSFER_PRICING</t>
        </is>
      </c>
      <c r="E136" s="265" t="inlineStr">
        <is>
          <t>Water service unit cost</t>
        </is>
      </c>
      <c r="F136" s="265" t="inlineStr">
        <is>
          <t>Source</t>
        </is>
      </c>
      <c r="G136" s="265" t="inlineStr">
        <is>
          <t>Owner</t>
        </is>
      </c>
      <c r="H136" s="265" t="inlineStr">
        <is>
          <t>Status</t>
        </is>
      </c>
      <c r="I136" s="265" t="inlineStr">
        <is>
          <t>Confidence</t>
        </is>
      </c>
      <c r="J136" s="265" t="inlineStr">
        <is>
          <t>Last Updated</t>
        </is>
      </c>
      <c r="K136" s="265" t="inlineStr">
        <is>
          <t>Notes</t>
        </is>
      </c>
      <c r="M136" t="inlineStr">
        <is>
          <t>Sponsor Input</t>
        </is>
      </c>
      <c r="N136">
        <f>COUNTIF(E137:E215,"Sponsor Input")</f>
        <v/>
      </c>
    </row>
    <row r="137">
      <c r="A137" t="inlineStr">
        <is>
          <t>SPONSOR_INPUTS</t>
        </is>
      </c>
      <c r="B137" t="inlineStr">
        <is>
          <t>Land Contribution</t>
        </is>
      </c>
      <c r="C137" s="266">
        <f>B10</f>
        <v/>
      </c>
      <c r="D137" s="267" t="inlineStr">
        <is>
          <t>NGN</t>
        </is>
      </c>
      <c r="E137" s="267" t="inlineStr">
        <is>
          <t>Sponsor Input</t>
        </is>
      </c>
      <c r="F137" s="267" t="inlineStr">
        <is>
          <t>Sponsor</t>
        </is>
      </c>
      <c r="G137" s="267" t="inlineStr">
        <is>
          <t>Sponsor</t>
        </is>
      </c>
      <c r="H137" s="267" t="inlineStr">
        <is>
          <t>Supported</t>
        </is>
      </c>
      <c r="I137" s="267" t="inlineStr">
        <is>
          <t>High</t>
        </is>
      </c>
      <c r="J137" t="inlineStr">
        <is>
          <t>2026-08-25</t>
        </is>
      </c>
      <c r="K137" t="inlineStr">
        <is>
          <t>Non-cash land equity</t>
        </is>
      </c>
      <c r="M137" t="inlineStr">
        <is>
          <t>Lender Input</t>
        </is>
      </c>
      <c r="N137">
        <f>COUNTIF(E137:E215,"Lender Input")</f>
        <v/>
      </c>
    </row>
    <row r="138">
      <c r="A138" t="inlineStr">
        <is>
          <t>SPONSOR_INPUTS</t>
        </is>
      </c>
      <c r="B138" t="inlineStr">
        <is>
          <t>Cash Equity Y1</t>
        </is>
      </c>
      <c r="C138" s="266">
        <f>B11</f>
        <v/>
      </c>
      <c r="D138" s="267" t="inlineStr">
        <is>
          <t>NGN</t>
        </is>
      </c>
      <c r="E138" s="267" t="inlineStr">
        <is>
          <t>Sponsor Input</t>
        </is>
      </c>
      <c r="F138" s="267" t="inlineStr">
        <is>
          <t>Sponsor</t>
        </is>
      </c>
      <c r="G138" s="267" t="inlineStr">
        <is>
          <t>Finance</t>
        </is>
      </c>
      <c r="H138" s="267" t="inlineStr">
        <is>
          <t>Draft</t>
        </is>
      </c>
      <c r="I138" s="267" t="inlineStr">
        <is>
          <t>Medium</t>
        </is>
      </c>
      <c r="J138" t="inlineStr">
        <is>
          <t>2026-08-25</t>
        </is>
      </c>
      <c r="K138" t="inlineStr">
        <is>
          <t>Editable sponsor cash equity</t>
        </is>
      </c>
      <c r="M138" t="inlineStr">
        <is>
          <t>Market Benchmark</t>
        </is>
      </c>
      <c r="N138">
        <f>COUNTIF(E137:E215,"Market Benchmark")</f>
        <v/>
      </c>
    </row>
    <row r="139">
      <c r="A139" t="inlineStr">
        <is>
          <t>LENDER_INPUTS</t>
        </is>
      </c>
      <c r="B139" t="inlineStr">
        <is>
          <t>Loan Amount</t>
        </is>
      </c>
      <c r="C139" s="266">
        <f>B5</f>
        <v/>
      </c>
      <c r="D139" s="267" t="inlineStr">
        <is>
          <t>NGN</t>
        </is>
      </c>
      <c r="E139" s="267" t="inlineStr">
        <is>
          <t>Lender Input</t>
        </is>
      </c>
      <c r="F139" s="267" t="inlineStr">
        <is>
          <t>BOA Requirement</t>
        </is>
      </c>
      <c r="G139" s="267" t="inlineStr">
        <is>
          <t>Credit</t>
        </is>
      </c>
      <c r="H139" s="267" t="inlineStr">
        <is>
          <t>Supported</t>
        </is>
      </c>
      <c r="I139" s="267" t="inlineStr">
        <is>
          <t>High</t>
        </is>
      </c>
      <c r="J139" t="inlineStr">
        <is>
          <t>2026-08-25</t>
        </is>
      </c>
      <c r="K139" t="inlineStr">
        <is>
          <t>BOA phase 1 debt request</t>
        </is>
      </c>
      <c r="M139" t="inlineStr">
        <is>
          <t>Derived</t>
        </is>
      </c>
      <c r="N139">
        <f>COUNTIF(E137:E215,"Derived")</f>
        <v/>
      </c>
    </row>
    <row r="140">
      <c r="A140" t="inlineStr">
        <is>
          <t>LENDER_INPUTS</t>
        </is>
      </c>
      <c r="B140" t="inlineStr">
        <is>
          <t>Interest Rate</t>
        </is>
      </c>
      <c r="C140" s="266">
        <f>B6</f>
        <v/>
      </c>
      <c r="D140" s="267" t="inlineStr">
        <is>
          <t>%</t>
        </is>
      </c>
      <c r="E140" s="267" t="inlineStr">
        <is>
          <t>Lender Input</t>
        </is>
      </c>
      <c r="F140" s="267" t="inlineStr">
        <is>
          <t>BOA Requirement</t>
        </is>
      </c>
      <c r="G140" s="267" t="inlineStr">
        <is>
          <t>Credit</t>
        </is>
      </c>
      <c r="H140" s="267" t="inlineStr">
        <is>
          <t>Supported</t>
        </is>
      </c>
      <c r="I140" s="267" t="inlineStr">
        <is>
          <t>High</t>
        </is>
      </c>
      <c r="J140" t="inlineStr">
        <is>
          <t>2026-08-25</t>
        </is>
      </c>
      <c r="K140" t="inlineStr">
        <is>
          <t>Current model rate set at 9%</t>
        </is>
      </c>
      <c r="M140" t="inlineStr">
        <is>
          <t>Approved</t>
        </is>
      </c>
      <c r="N140">
        <f>COUNTIF(H137:H215,"Approved")</f>
        <v/>
      </c>
    </row>
    <row r="141">
      <c r="A141" t="inlineStr">
        <is>
          <t>LENDER_INPUTS</t>
        </is>
      </c>
      <c r="B141" t="inlineStr">
        <is>
          <t>Tenor</t>
        </is>
      </c>
      <c r="C141" s="266">
        <f>B7</f>
        <v/>
      </c>
      <c r="D141" s="267" t="inlineStr">
        <is>
          <t>Years</t>
        </is>
      </c>
      <c r="E141" s="267" t="inlineStr">
        <is>
          <t>Lender Input</t>
        </is>
      </c>
      <c r="F141" s="267" t="inlineStr">
        <is>
          <t>BOA Requirement</t>
        </is>
      </c>
      <c r="G141" s="267" t="inlineStr">
        <is>
          <t>Credit</t>
        </is>
      </c>
      <c r="H141" s="267" t="inlineStr">
        <is>
          <t>Supported</t>
        </is>
      </c>
      <c r="I141" s="267" t="inlineStr">
        <is>
          <t>High</t>
        </is>
      </c>
      <c r="J141" t="inlineStr">
        <is>
          <t>2026-08-25</t>
        </is>
      </c>
      <c r="K141" t="inlineStr">
        <is>
          <t>Seven-year debt tenor</t>
        </is>
      </c>
      <c r="M141" t="inlineStr">
        <is>
          <t>Supported</t>
        </is>
      </c>
      <c r="N141">
        <f>COUNTIF(H137:H215,"Supported")</f>
        <v/>
      </c>
    </row>
    <row r="142">
      <c r="A142" t="inlineStr">
        <is>
          <t>LENDER_INPUTS</t>
        </is>
      </c>
      <c r="B142" t="inlineStr">
        <is>
          <t>Moratorium</t>
        </is>
      </c>
      <c r="C142" s="266">
        <f>B8</f>
        <v/>
      </c>
      <c r="D142" s="267" t="inlineStr">
        <is>
          <t>Years</t>
        </is>
      </c>
      <c r="E142" s="267" t="inlineStr">
        <is>
          <t>Lender Input</t>
        </is>
      </c>
      <c r="F142" s="267" t="inlineStr">
        <is>
          <t>BOA Requirement</t>
        </is>
      </c>
      <c r="G142" s="267" t="inlineStr">
        <is>
          <t>Credit</t>
        </is>
      </c>
      <c r="H142" s="267" t="inlineStr">
        <is>
          <t>Supported</t>
        </is>
      </c>
      <c r="I142" s="267" t="inlineStr">
        <is>
          <t>High</t>
        </is>
      </c>
      <c r="J142" t="inlineStr">
        <is>
          <t>2026-08-25</t>
        </is>
      </c>
      <c r="K142" t="inlineStr">
        <is>
          <t>Twenty-four-month principal moratorium</t>
        </is>
      </c>
      <c r="M142" t="inlineStr">
        <is>
          <t>Low Confidence</t>
        </is>
      </c>
      <c r="N142">
        <f>COUNTIF(I137:I215,"Low")</f>
        <v/>
      </c>
    </row>
    <row r="143">
      <c r="A143" t="inlineStr">
        <is>
          <t>LENDER_INPUTS</t>
        </is>
      </c>
      <c r="B143" t="inlineStr">
        <is>
          <t>Minimum DSCR</t>
        </is>
      </c>
      <c r="C143" s="266">
        <f>B16</f>
        <v/>
      </c>
      <c r="D143" s="267" t="inlineStr">
        <is>
          <t>x</t>
        </is>
      </c>
      <c r="E143" s="267" t="inlineStr">
        <is>
          <t>Lender Input</t>
        </is>
      </c>
      <c r="F143" s="267" t="inlineStr">
        <is>
          <t>Commercial Bank Requirement</t>
        </is>
      </c>
      <c r="G143" s="267" t="inlineStr">
        <is>
          <t>Credit</t>
        </is>
      </c>
      <c r="H143" s="267" t="inlineStr">
        <is>
          <t>Supported</t>
        </is>
      </c>
      <c r="I143" s="267" t="inlineStr">
        <is>
          <t>High</t>
        </is>
      </c>
      <c r="J143" t="inlineStr">
        <is>
          <t>2026-08-25</t>
        </is>
      </c>
      <c r="K143" t="inlineStr">
        <is>
          <t>Minimum covenant threshold</t>
        </is>
      </c>
    </row>
    <row r="144">
      <c r="A144" t="inlineStr">
        <is>
          <t>OPERATIONAL_INPUTS</t>
        </is>
      </c>
      <c r="B144" t="inlineStr">
        <is>
          <t>Initial Dairy Cows</t>
        </is>
      </c>
      <c r="C144" s="266">
        <f>B17</f>
        <v/>
      </c>
      <c r="D144" s="267" t="inlineStr">
        <is>
          <t>Head</t>
        </is>
      </c>
      <c r="E144" s="267" t="inlineStr">
        <is>
          <t>Sponsor Input</t>
        </is>
      </c>
      <c r="F144" s="267" t="inlineStr">
        <is>
          <t>Sponsor</t>
        </is>
      </c>
      <c r="G144" s="267" t="inlineStr">
        <is>
          <t>Operations</t>
        </is>
      </c>
      <c r="H144" s="267" t="inlineStr">
        <is>
          <t>Supported</t>
        </is>
      </c>
      <c r="I144" s="267" t="inlineStr">
        <is>
          <t>Medium</t>
        </is>
      </c>
      <c r="J144" t="inlineStr">
        <is>
          <t>2026-08-25</t>
        </is>
      </c>
      <c r="K144" t="inlineStr">
        <is>
          <t>Opening dairy herd</t>
        </is>
      </c>
    </row>
    <row r="145">
      <c r="A145" t="inlineStr">
        <is>
          <t>OPERATIONAL_INPUTS</t>
        </is>
      </c>
      <c r="B145" t="inlineStr">
        <is>
          <t>Breeding Bulls</t>
        </is>
      </c>
      <c r="C145" s="266">
        <f>B18</f>
        <v/>
      </c>
      <c r="D145" s="267" t="inlineStr">
        <is>
          <t>Head</t>
        </is>
      </c>
      <c r="E145" s="267" t="inlineStr">
        <is>
          <t>Sponsor Input</t>
        </is>
      </c>
      <c r="F145" s="267" t="inlineStr">
        <is>
          <t>Sponsor</t>
        </is>
      </c>
      <c r="G145" s="267" t="inlineStr">
        <is>
          <t>Veterinary</t>
        </is>
      </c>
      <c r="H145" s="267" t="inlineStr">
        <is>
          <t>Supported</t>
        </is>
      </c>
      <c r="I145" s="267" t="inlineStr">
        <is>
          <t>Medium</t>
        </is>
      </c>
      <c r="J145" t="inlineStr">
        <is>
          <t>2026-08-25</t>
        </is>
      </c>
      <c r="K145" t="inlineStr">
        <is>
          <t>Opening breeding bulls</t>
        </is>
      </c>
    </row>
    <row r="146">
      <c r="A146" t="inlineStr">
        <is>
          <t>OPERATIONAL_INPUTS</t>
        </is>
      </c>
      <c r="B146" t="inlineStr">
        <is>
          <t>Initial Fattening Bulls</t>
        </is>
      </c>
      <c r="C146" s="266">
        <f>B19</f>
        <v/>
      </c>
      <c r="D146" s="267" t="inlineStr">
        <is>
          <t>Head</t>
        </is>
      </c>
      <c r="E146" s="267" t="inlineStr">
        <is>
          <t>Sponsor Input</t>
        </is>
      </c>
      <c r="F146" s="267" t="inlineStr">
        <is>
          <t>Sponsor</t>
        </is>
      </c>
      <c r="G146" s="267" t="inlineStr">
        <is>
          <t>Operations</t>
        </is>
      </c>
      <c r="H146" s="267" t="inlineStr">
        <is>
          <t>Supported</t>
        </is>
      </c>
      <c r="I146" s="267" t="inlineStr">
        <is>
          <t>Medium</t>
        </is>
      </c>
      <c r="J146" t="inlineStr">
        <is>
          <t>2026-08-25</t>
        </is>
      </c>
      <c r="K146" t="inlineStr">
        <is>
          <t>Opening bull fattening stock</t>
        </is>
      </c>
    </row>
    <row r="147">
      <c r="A147" t="inlineStr">
        <is>
          <t>OPERATIONAL_INPUTS</t>
        </is>
      </c>
      <c r="B147" t="inlineStr">
        <is>
          <t>Cultivated Acres Y1</t>
        </is>
      </c>
      <c r="C147" s="266">
        <f>FEED_FARM!B4</f>
        <v/>
      </c>
      <c r="D147" s="267" t="inlineStr">
        <is>
          <t>Acres</t>
        </is>
      </c>
      <c r="E147" s="267" t="inlineStr">
        <is>
          <t>Sponsor Input</t>
        </is>
      </c>
      <c r="F147" s="267" t="inlineStr">
        <is>
          <t>Farm Management</t>
        </is>
      </c>
      <c r="G147" s="267" t="inlineStr">
        <is>
          <t>Agronomy</t>
        </is>
      </c>
      <c r="H147" s="267" t="inlineStr">
        <is>
          <t>Supported</t>
        </is>
      </c>
      <c r="I147" s="267" t="inlineStr">
        <is>
          <t>High</t>
        </is>
      </c>
      <c r="J147" t="inlineStr">
        <is>
          <t>2026-08-25</t>
        </is>
      </c>
      <c r="K147" t="inlineStr">
        <is>
          <t>Starts at 80 cultivated acres with 40 reserve acres</t>
        </is>
      </c>
    </row>
    <row r="148">
      <c r="A148" t="inlineStr">
        <is>
          <t>OPERATIONAL_INPUTS</t>
        </is>
      </c>
      <c r="B148" t="inlineStr">
        <is>
          <t>Cultivated Acres Y10</t>
        </is>
      </c>
      <c r="C148" s="266">
        <f>FEED_FARM!K4</f>
        <v/>
      </c>
      <c r="D148" s="267" t="inlineStr">
        <is>
          <t>Acres</t>
        </is>
      </c>
      <c r="E148" s="267" t="inlineStr">
        <is>
          <t>Derived</t>
        </is>
      </c>
      <c r="F148" s="267" t="inlineStr">
        <is>
          <t>Model Derived</t>
        </is>
      </c>
      <c r="G148" s="267" t="inlineStr">
        <is>
          <t>Agronomy</t>
        </is>
      </c>
      <c r="H148" s="267" t="inlineStr">
        <is>
          <t>Supported</t>
        </is>
      </c>
      <c r="I148" s="267" t="inlineStr">
        <is>
          <t>High</t>
        </is>
      </c>
      <c r="J148" t="inlineStr">
        <is>
          <t>2026-08-25</t>
        </is>
      </c>
      <c r="K148" t="inlineStr">
        <is>
          <t>Ramps to 120 cultivated acres by Y10</t>
        </is>
      </c>
    </row>
    <row r="149">
      <c r="A149" t="inlineStr">
        <is>
          <t>MARKET_INPUTS</t>
        </is>
      </c>
      <c r="B149" t="inlineStr">
        <is>
          <t>Young Bull Purchase Price</t>
        </is>
      </c>
      <c r="C149" s="266">
        <f>ASSUMPTIONS!B109</f>
        <v/>
      </c>
      <c r="D149" s="267" t="inlineStr">
        <is>
          <t>NGN/head</t>
        </is>
      </c>
      <c r="E149" s="267" t="inlineStr">
        <is>
          <t>Market Benchmark</t>
        </is>
      </c>
      <c r="F149" s="267" t="inlineStr">
        <is>
          <t>Market Survey</t>
        </is>
      </c>
      <c r="G149" s="267" t="inlineStr">
        <is>
          <t>Operations</t>
        </is>
      </c>
      <c r="H149" s="267" t="inlineStr">
        <is>
          <t>Estimated</t>
        </is>
      </c>
      <c r="I149" s="267" t="inlineStr">
        <is>
          <t>Medium</t>
        </is>
      </c>
      <c r="J149" t="inlineStr">
        <is>
          <t>2026-08-25</t>
        </is>
      </c>
      <c r="K149" t="inlineStr">
        <is>
          <t>Used for fattening cycle purchase cost</t>
        </is>
      </c>
    </row>
    <row r="150">
      <c r="A150" t="inlineStr">
        <is>
          <t>MARKET_INPUTS</t>
        </is>
      </c>
      <c r="B150" t="inlineStr">
        <is>
          <t>Transfer Pricing Markup</t>
        </is>
      </c>
      <c r="C150" s="266">
        <f>ASSUMPTIONS!B133</f>
        <v/>
      </c>
      <c r="D150" s="267" t="inlineStr">
        <is>
          <t>%</t>
        </is>
      </c>
      <c r="E150" s="267" t="inlineStr">
        <is>
          <t>Market Benchmark</t>
        </is>
      </c>
      <c r="F150" s="267" t="inlineStr">
        <is>
          <t>Industry Benchmark</t>
        </is>
      </c>
      <c r="G150" s="267" t="inlineStr">
        <is>
          <t>Finance</t>
        </is>
      </c>
      <c r="H150" s="267" t="inlineStr">
        <is>
          <t>Estimated</t>
        </is>
      </c>
      <c r="I150" s="267" t="inlineStr">
        <is>
          <t>Medium</t>
        </is>
      </c>
      <c r="J150" t="inlineStr">
        <is>
          <t>2026-08-25</t>
        </is>
      </c>
      <c r="K150" t="inlineStr">
        <is>
          <t>Internal feed transfer margin</t>
        </is>
      </c>
    </row>
    <row r="151">
      <c r="A151" t="inlineStr">
        <is>
          <t>DERIVED_ASSUMPTIONS</t>
        </is>
      </c>
      <c r="B151" t="inlineStr">
        <is>
          <t>External Bull Purchases</t>
        </is>
      </c>
      <c r="C151" s="266">
        <f>FATTENING!B5</f>
        <v/>
      </c>
      <c r="D151" s="267" t="inlineStr">
        <is>
          <t>Head</t>
        </is>
      </c>
      <c r="E151" s="267" t="inlineStr">
        <is>
          <t>Derived</t>
        </is>
      </c>
      <c r="F151" s="267" t="inlineStr">
        <is>
          <t>Model Derived</t>
        </is>
      </c>
      <c r="G151" s="267" t="inlineStr">
        <is>
          <t>Model Builder</t>
        </is>
      </c>
      <c r="H151" s="267" t="inlineStr">
        <is>
          <t>Supported</t>
        </is>
      </c>
      <c r="I151" s="267" t="inlineStr">
        <is>
          <t>High</t>
        </is>
      </c>
      <c r="J151" t="inlineStr">
        <is>
          <t>2026-08-25</t>
        </is>
      </c>
      <c r="K151" t="inlineStr">
        <is>
          <t>MAX target bulls less dairy retained males</t>
        </is>
      </c>
    </row>
    <row r="152">
      <c r="A152" t="inlineStr">
        <is>
          <t>MODEL_FLAGS</t>
        </is>
      </c>
      <c r="B152" t="inlineStr">
        <is>
          <t>Scenario Case</t>
        </is>
      </c>
      <c r="C152" t="inlineStr">
        <is>
          <t>Base</t>
        </is>
      </c>
      <c r="D152" s="267" t="inlineStr">
        <is>
          <t>Case</t>
        </is>
      </c>
      <c r="E152" s="267" t="inlineStr">
        <is>
          <t>Model Flag</t>
        </is>
      </c>
      <c r="F152" s="267" t="inlineStr">
        <is>
          <t>Model Derived</t>
        </is>
      </c>
      <c r="G152" s="267" t="inlineStr">
        <is>
          <t>Model Builder</t>
        </is>
      </c>
      <c r="H152" s="267" t="inlineStr">
        <is>
          <t>Draft</t>
        </is>
      </c>
      <c r="I152" s="267" t="inlineStr">
        <is>
          <t>Medium</t>
        </is>
      </c>
      <c r="J152" t="inlineStr">
        <is>
          <t>2026-08-25</t>
        </is>
      </c>
      <c r="K152" t="inlineStr">
        <is>
          <t>Base case active unless changed in scenarios</t>
        </is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1">
    <mergeCell ref="A1:K1"/>
  </mergeCells>
  <dataValidations count="6">
    <dataValidation sqref="E137:E215" showDropDown="0" showInputMessage="0" showErrorMessage="0" allowBlank="1" type="list">
      <formula1>"Sponsor Input,Lender Input,Market Benchmark,Industry Benchmark,Derived,Model Flag"</formula1>
    </dataValidation>
    <dataValidation sqref="F137:F215" showDropDown="0" showInputMessage="0" showErrorMessage="0" allowBlank="1" type="list">
      <formula1>"Sponsor,BOA Requirement,Commercial Bank Requirement,Vendor Quotation,Market Survey,Industry Benchmark,Technical Consultant,Farm Management,Regulatory,Model Derived"</formula1>
    </dataValidation>
    <dataValidation sqref="G137:G215" showDropDown="0" showInputMessage="0" showErrorMessage="0" allowBlank="1" type="list">
      <formula1>"Sponsor,Finance,Operations,Agronomy,Veterinary,Logistics,Credit,Model Builder,External Consultant"</formula1>
    </dataValidation>
    <dataValidation sqref="H137:H215" showDropDown="0" showInputMessage="0" showErrorMessage="0" allowBlank="1" type="list">
      <formula1>"Draft,Estimated,Benchmark,Supported,Approved"</formula1>
    </dataValidation>
    <dataValidation sqref="I137:I215" showDropDown="0" showInputMessage="0" showErrorMessage="0" allowBlank="1" type="list">
      <formula1>"High,Medium,Low"</formula1>
    </dataValidation>
    <dataValidation sqref="N9" showDropDown="0" showInputMessage="0" showErrorMessage="0" allowBlank="0" type="list">
      <formula1>"Enabled,Disabled"</formula1>
    </dataValidation>
  </dataValidations>
  <pageMargins left="0.5" right="0.5" top="1" bottom="1" header="0.5" footer="0.5"/>
  <pageSetup orientation="landscape" horizontalDpi="300" verticalDpi="300"/>
  <headerFooter>
    <oddHeader>&amp;L&amp;A&amp;C&amp;"Calibri,Bold" Confidential&amp;RPage &amp;P</oddHeader>
    <oddFooter>&amp;C&amp;F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showGridLines="0" topLeftCell="A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53" sqref="F53"/>
    </sheetView>
  </sheetViews>
  <sheetFormatPr baseColWidth="10" defaultColWidth="8.83203125" defaultRowHeight="15"/>
  <cols>
    <col width="11.33203125" customWidth="1" style="29" min="1" max="1"/>
    <col width="15" customWidth="1" style="239" min="2" max="2"/>
    <col width="19.5" customWidth="1" style="239" min="3" max="3"/>
    <col width="20.83203125" customWidth="1" style="239" min="4" max="4"/>
    <col width="23" customWidth="1" style="239" min="5" max="5"/>
    <col width="15" customWidth="1" style="239" min="6" max="14"/>
  </cols>
  <sheetData>
    <row r="1" ht="21" customHeight="1" s="239">
      <c r="A1" s="268" t="inlineStr">
        <is>
          <t>Breeding Herd Model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0" t="n"/>
      <c r="L1" s="250" t="n"/>
      <c r="M1" s="250" t="n"/>
      <c r="N1" s="250" t="n"/>
      <c r="O1" s="251" t="n"/>
    </row>
    <row r="2" ht="15" customHeight="1" s="239">
      <c r="A2" s="30" t="n"/>
      <c r="G2" s="137" t="n"/>
    </row>
    <row r="3" ht="15" customFormat="1" customHeight="1" s="20">
      <c r="A3" s="31" t="inlineStr">
        <is>
          <t>Year</t>
        </is>
      </c>
      <c r="B3" s="32" t="inlineStr">
        <is>
          <t>Cows Opening</t>
        </is>
      </c>
      <c r="C3" s="32" t="inlineStr">
        <is>
          <t>Bulls Opening</t>
        </is>
      </c>
      <c r="D3" s="32" t="inlineStr">
        <is>
          <t>Cows Added from Heifers</t>
        </is>
      </c>
      <c r="E3" s="32" t="inlineStr">
        <is>
          <t xml:space="preserve">Bulls Added from Males </t>
        </is>
      </c>
      <c r="F3" s="32" t="inlineStr">
        <is>
          <t>Cows Culled</t>
        </is>
      </c>
      <c r="G3" s="32" t="inlineStr">
        <is>
          <t>Bulls Culled</t>
        </is>
      </c>
      <c r="H3" s="32" t="inlineStr">
        <is>
          <t>Cows End</t>
        </is>
      </c>
      <c r="I3" s="32" t="inlineStr">
        <is>
          <t>Bulls End</t>
        </is>
      </c>
      <c r="J3" s="10" t="inlineStr">
        <is>
          <t>Calves Surviving</t>
        </is>
      </c>
      <c r="K3" s="10" t="inlineStr">
        <is>
          <t>Female Calves</t>
        </is>
      </c>
      <c r="L3" s="10" t="inlineStr">
        <is>
          <t>Male Calves</t>
        </is>
      </c>
      <c r="M3" s="10" t="inlineStr">
        <is>
          <t>Male Sold</t>
        </is>
      </c>
      <c r="N3" s="10" t="inlineStr">
        <is>
          <t>Retained to Breed</t>
        </is>
      </c>
    </row>
    <row r="4" ht="15" customHeight="1" s="239">
      <c r="A4" s="33" t="n">
        <v>1</v>
      </c>
      <c r="B4" s="34">
        <f>IFERROR(IF(A4=1,ASSUMPTIONS!$B$17,H3),"")</f>
        <v/>
      </c>
      <c r="C4" s="34">
        <f>ASSUMPTIONS!B100</f>
        <v/>
      </c>
      <c r="D4" s="34">
        <f>IFERROR(0,"")</f>
        <v/>
      </c>
      <c r="E4" s="34" t="n">
        <v>0</v>
      </c>
      <c r="F4" s="34">
        <f>IFERROR(IF(A4=6,B4*ASSUMPTIONS!$B$24,IF(A4=7,B4*ASSUMPTIONS!$B$24,IF(A4&gt;=8,B4*ASSUMPTIONS!$B$25,0))),"")</f>
        <v/>
      </c>
      <c r="G4" s="34" t="n">
        <v>0</v>
      </c>
      <c r="H4" s="34">
        <f>IFERROR(MAX(0,B4+D4-F4),"")</f>
        <v/>
      </c>
      <c r="I4" s="34" t="n">
        <v>6</v>
      </c>
      <c r="J4" s="34">
        <f>IFERROR(IF(A4=1,0,H4*ASSUMPTIONS!$B$20),"")</f>
        <v/>
      </c>
      <c r="K4" s="34">
        <f>IFERROR(J4*ASSUMPTIONS!$B$21,"")</f>
        <v/>
      </c>
      <c r="L4" s="34">
        <f>IFERROR(J4-K4,"")</f>
        <v/>
      </c>
      <c r="M4" s="34">
        <f>IFERROR(IF(A4&gt;=ASSUMPTIONS!$B$23,L4*ASSUMPTIONS!$B$22,0),"")</f>
        <v/>
      </c>
      <c r="N4" s="34">
        <f>IFERROR(L4-M4,"")</f>
        <v/>
      </c>
    </row>
    <row r="5" ht="15" customHeight="1" s="239">
      <c r="A5" s="33" t="n">
        <v>2</v>
      </c>
      <c r="B5" s="34">
        <f>IFERROR(IF(A5=1,ASSUMPTIONS!$B$17,H4),"")</f>
        <v/>
      </c>
      <c r="C5" s="34" t="n">
        <v>6</v>
      </c>
      <c r="D5" s="34">
        <f>IFERROR(0,"")</f>
        <v/>
      </c>
      <c r="E5" s="34" t="n">
        <v>0</v>
      </c>
      <c r="F5" s="34">
        <f>IFERROR(IF(A5=6,B5*ASSUMPTIONS!$B$24,IF(A5=7,B5*ASSUMPTIONS!$B$24,IF(A5&gt;=8,B5*ASSUMPTIONS!$B$25,0))),"")</f>
        <v/>
      </c>
      <c r="G5" s="34" t="n">
        <v>0</v>
      </c>
      <c r="H5" s="34">
        <f>IFERROR(MAX(0,B5+D5-F5),"")</f>
        <v/>
      </c>
      <c r="I5" s="34" t="n">
        <v>6</v>
      </c>
      <c r="J5" s="34">
        <f>IFERROR(IF(A5=1,0,H5*ASSUMPTIONS!$B$20),"")</f>
        <v/>
      </c>
      <c r="K5" s="34">
        <f>IFERROR(J5*ASSUMPTIONS!$B$21,"")</f>
        <v/>
      </c>
      <c r="L5" s="34">
        <f>IFERROR(J5-K5,"")</f>
        <v/>
      </c>
      <c r="M5" s="34">
        <f>IFERROR(IF(A5&gt;=ASSUMPTIONS!$B$23,L5*ASSUMPTIONS!$B$22,0),"")</f>
        <v/>
      </c>
      <c r="N5" s="34">
        <f>IFERROR(L5-M5,"")</f>
        <v/>
      </c>
    </row>
    <row r="6" ht="15" customHeight="1" s="239">
      <c r="A6" s="33" t="n">
        <v>3</v>
      </c>
      <c r="B6" s="34">
        <f>IFERROR(IF(A6=1,ASSUMPTIONS!$B$17,H5),"")</f>
        <v/>
      </c>
      <c r="C6" s="34" t="n">
        <v>6</v>
      </c>
      <c r="D6" s="34">
        <f>IFERROR(K4,"")</f>
        <v/>
      </c>
      <c r="E6" s="34" t="n">
        <v>0</v>
      </c>
      <c r="F6" s="34">
        <f>IFERROR(IF(A6=6,B6*ASSUMPTIONS!$B$24,IF(A6=7,B6*ASSUMPTIONS!$B$24,IF(A6&gt;=8,B6*ASSUMPTIONS!$B$25,0))),"")</f>
        <v/>
      </c>
      <c r="G6" s="34" t="n">
        <v>0</v>
      </c>
      <c r="H6" s="34">
        <f>IFERROR(MAX(0,B6+D6-F6),"")</f>
        <v/>
      </c>
      <c r="I6" s="34" t="n">
        <v>6</v>
      </c>
      <c r="J6" s="34">
        <f>IFERROR(IF(A6=1,0,H6*ASSUMPTIONS!$B$20),"")</f>
        <v/>
      </c>
      <c r="K6" s="34">
        <f>IFERROR(J6*ASSUMPTIONS!$B$21,"")</f>
        <v/>
      </c>
      <c r="L6" s="34">
        <f>IFERROR(J6-K6,"")</f>
        <v/>
      </c>
      <c r="M6" s="34">
        <f>IFERROR(IF(A6&gt;=ASSUMPTIONS!$B$23,L6*ASSUMPTIONS!$B$22,0),"")</f>
        <v/>
      </c>
      <c r="N6" s="34">
        <f>IFERROR(L6-M6,"")</f>
        <v/>
      </c>
    </row>
    <row r="7" ht="15" customHeight="1" s="239">
      <c r="A7" s="33" t="n">
        <v>4</v>
      </c>
      <c r="B7" s="34">
        <f>IFERROR(IF(A7=1,ASSUMPTIONS!$B$17,H6),"")</f>
        <v/>
      </c>
      <c r="C7" s="34" t="n">
        <v>6</v>
      </c>
      <c r="D7" s="34">
        <f>IFERROR(K5,"")</f>
        <v/>
      </c>
      <c r="E7" s="34">
        <f>N5</f>
        <v/>
      </c>
      <c r="F7" s="34">
        <f>IFERROR(IF(A7=6,B7*ASSUMPTIONS!$B$24,IF(A7=7,B7*ASSUMPTIONS!$B$24,IF(A7&gt;=8,B7*ASSUMPTIONS!$B$25,0))),"")</f>
        <v/>
      </c>
      <c r="G7" s="34" t="n">
        <v>0</v>
      </c>
      <c r="H7" s="34">
        <f>IFERROR(MAX(0,B7+D7-F7),"")</f>
        <v/>
      </c>
      <c r="I7" s="34">
        <f>C7+E7</f>
        <v/>
      </c>
      <c r="J7" s="34">
        <f>IFERROR(IF(A7=1,0,H7*ASSUMPTIONS!$B$20),"")</f>
        <v/>
      </c>
      <c r="K7" s="34">
        <f>IFERROR(J7*ASSUMPTIONS!$B$21,"")</f>
        <v/>
      </c>
      <c r="L7" s="34">
        <f>IFERROR(J7-K7,"")</f>
        <v/>
      </c>
      <c r="M7" s="34">
        <f>IFERROR(IF(A7&gt;=ASSUMPTIONS!$B$23,L7*ASSUMPTIONS!$B$22,0),"")</f>
        <v/>
      </c>
      <c r="N7" s="34">
        <f>IFERROR(L7-M7,"")</f>
        <v/>
      </c>
    </row>
    <row r="8" ht="15" customHeight="1" s="239">
      <c r="A8" s="33" t="n">
        <v>5</v>
      </c>
      <c r="B8" s="34">
        <f>IFERROR(IF(A8=1,ASSUMPTIONS!$B$17,H7),"")</f>
        <v/>
      </c>
      <c r="C8" s="34">
        <f>C7+E7</f>
        <v/>
      </c>
      <c r="D8" s="34">
        <f>IFERROR(K6,"")</f>
        <v/>
      </c>
      <c r="E8" s="34">
        <f>N6</f>
        <v/>
      </c>
      <c r="F8" s="34">
        <f>IFERROR(IF(A8=6,B8*ASSUMPTIONS!$B$24,IF(A8=7,B8*ASSUMPTIONS!$B$24,IF(A8&gt;=8,B8*ASSUMPTIONS!$B$25,0))),"")</f>
        <v/>
      </c>
      <c r="G8" s="34" t="n">
        <v>0</v>
      </c>
      <c r="H8" s="34">
        <f>IFERROR(MAX(0,B8+D8-F8),"")</f>
        <v/>
      </c>
      <c r="I8" s="34">
        <f>C8+E8</f>
        <v/>
      </c>
      <c r="J8" s="34">
        <f>IFERROR(IF(A8=1,0,H8*ASSUMPTIONS!$B$20),"")</f>
        <v/>
      </c>
      <c r="K8" s="34">
        <f>IFERROR(J8*ASSUMPTIONS!$B$21,"")</f>
        <v/>
      </c>
      <c r="L8" s="34">
        <f>IFERROR(J8-K8,"")</f>
        <v/>
      </c>
      <c r="M8" s="34">
        <f>IFERROR(IF(A8&gt;=ASSUMPTIONS!$B$23,L8*ASSUMPTIONS!$B$22,0),"")</f>
        <v/>
      </c>
      <c r="N8" s="34">
        <f>IFERROR(L8-M8,"")</f>
        <v/>
      </c>
    </row>
    <row r="9" ht="15" customHeight="1" s="239">
      <c r="A9" s="33" t="n">
        <v>6</v>
      </c>
      <c r="B9" s="34">
        <f>IFERROR(IF(A9=1,ASSUMPTIONS!$B$17,H8),"")</f>
        <v/>
      </c>
      <c r="C9" s="34" t="n">
        <v>14</v>
      </c>
      <c r="D9" s="34">
        <f>IFERROR(K7,"")</f>
        <v/>
      </c>
      <c r="E9" s="34">
        <f>N7</f>
        <v/>
      </c>
      <c r="F9" s="34">
        <f>IFERROR(IF(A9=6,B9*ASSUMPTIONS!$B$24,IF(A9=7,B9*ASSUMPTIONS!$B$24,IF(A9&gt;=8,B9*ASSUMPTIONS!$B$25,0))),"")</f>
        <v/>
      </c>
      <c r="G9" s="34">
        <f>C7+2</f>
        <v/>
      </c>
      <c r="H9" s="34">
        <f>IFERROR(MAX(0,B9+D9-F9),"")</f>
        <v/>
      </c>
      <c r="I9" s="34">
        <f>C9+E9-G9</f>
        <v/>
      </c>
      <c r="J9" s="34">
        <f>IFERROR(IF(A9=1,0,H9*ASSUMPTIONS!$B$20),"")</f>
        <v/>
      </c>
      <c r="K9" s="34">
        <f>IFERROR(J9*ASSUMPTIONS!$B$21,"")</f>
        <v/>
      </c>
      <c r="L9" s="34">
        <f>IFERROR(J9-K9,"")</f>
        <v/>
      </c>
      <c r="M9" s="34">
        <f>IFERROR(IF(A9&gt;=ASSUMPTIONS!$B$23,L9*ASSUMPTIONS!$B$22,0),"")</f>
        <v/>
      </c>
      <c r="N9" s="34">
        <f>IFERROR(L9-M9,"")</f>
        <v/>
      </c>
    </row>
    <row r="10" ht="15" customHeight="1" s="239">
      <c r="A10" s="33" t="n">
        <v>7</v>
      </c>
      <c r="B10" s="34">
        <f>IFERROR(IF(A10=1,ASSUMPTIONS!$B$17,H9),"")</f>
        <v/>
      </c>
      <c r="C10" s="34">
        <f>I9</f>
        <v/>
      </c>
      <c r="D10" s="34">
        <f>IFERROR(K8,"")</f>
        <v/>
      </c>
      <c r="E10" s="34">
        <f>N8</f>
        <v/>
      </c>
      <c r="F10" s="34">
        <f>IFERROR(IF(A10=6,B10*ASSUMPTIONS!$B$24,IF(A10=7,B10*ASSUMPTIONS!$B$24,IF(A10&gt;=8,B10*ASSUMPTIONS!$B$25,0))),"")</f>
        <v/>
      </c>
      <c r="G10" s="34" t="n">
        <v>7</v>
      </c>
      <c r="H10" s="34">
        <f>IFERROR(MAX(0,B10+D10-F10),"")</f>
        <v/>
      </c>
      <c r="I10" s="34">
        <f>C10+E10-G10</f>
        <v/>
      </c>
      <c r="J10" s="34">
        <f>IFERROR(IF(A10=1,0,H10*ASSUMPTIONS!$B$20),"")</f>
        <v/>
      </c>
      <c r="K10" s="34">
        <f>IFERROR(J10*ASSUMPTIONS!$B$21,"")</f>
        <v/>
      </c>
      <c r="L10" s="34">
        <f>IFERROR(J10-K10,"")</f>
        <v/>
      </c>
      <c r="M10" s="34">
        <f>IFERROR(IF(A10&gt;=ASSUMPTIONS!$B$23,L10*ASSUMPTIONS!$B$22,0),"")</f>
        <v/>
      </c>
      <c r="N10" s="34">
        <f>IFERROR(L10-M10,"")</f>
        <v/>
      </c>
    </row>
    <row r="11" ht="15" customHeight="1" s="239">
      <c r="A11" s="33" t="n">
        <v>8</v>
      </c>
      <c r="B11" s="34">
        <f>IFERROR(IF(A11=1,ASSUMPTIONS!$B$17,H10),"")</f>
        <v/>
      </c>
      <c r="C11" s="34">
        <f>I10</f>
        <v/>
      </c>
      <c r="D11" s="34">
        <f>IFERROR(K9,"")</f>
        <v/>
      </c>
      <c r="E11" s="34">
        <f>N9</f>
        <v/>
      </c>
      <c r="F11" s="34">
        <f>IFERROR(IF(A11=6,B11*ASSUMPTIONS!$B$24,IF(A11=7,B11*ASSUMPTIONS!$B$24,IF(A11&gt;=8,B11*ASSUMPTIONS!$B$25,0))),"")</f>
        <v/>
      </c>
      <c r="G11" s="34" t="n">
        <v>7</v>
      </c>
      <c r="H11" s="34">
        <f>IFERROR(MAX(0,B11+D11-F11),"")</f>
        <v/>
      </c>
      <c r="I11" s="34">
        <f>C11+E11-G11</f>
        <v/>
      </c>
      <c r="J11" s="34">
        <f>IFERROR(IF(A11=1,0,H11*ASSUMPTIONS!$B$20),"")</f>
        <v/>
      </c>
      <c r="K11" s="34">
        <f>IFERROR(J11*ASSUMPTIONS!$B$21,"")</f>
        <v/>
      </c>
      <c r="L11" s="34">
        <f>IFERROR(J11-K11,"")</f>
        <v/>
      </c>
      <c r="M11" s="34">
        <f>IFERROR(IF(A11&gt;=ASSUMPTIONS!$B$23,L11*ASSUMPTIONS!$B$22,0),"")</f>
        <v/>
      </c>
      <c r="N11" s="34">
        <f>IFERROR(L11-M11,"")</f>
        <v/>
      </c>
    </row>
    <row r="12" ht="15" customHeight="1" s="239">
      <c r="A12" s="33" t="n">
        <v>9</v>
      </c>
      <c r="B12" s="34">
        <f>IFERROR(IF(A12=1,ASSUMPTIONS!$B$17,H11),"")</f>
        <v/>
      </c>
      <c r="C12" s="34">
        <f>I11</f>
        <v/>
      </c>
      <c r="D12" s="34">
        <f>IFERROR(K10,"")</f>
        <v/>
      </c>
      <c r="E12" s="34">
        <f>N10</f>
        <v/>
      </c>
      <c r="F12" s="34">
        <f>IFERROR(IF(A12=6,B12*ASSUMPTIONS!$B$24,IF(A12=7,B12*ASSUMPTIONS!$B$24,IF(A12&gt;=8,B12*ASSUMPTIONS!$B$25,0))),"")</f>
        <v/>
      </c>
      <c r="G12" s="34" t="n">
        <v>8</v>
      </c>
      <c r="H12" s="34">
        <f>IFERROR(MAX(0,B12+D12-F12),"")</f>
        <v/>
      </c>
      <c r="I12" s="34">
        <f>C12+E12-G12</f>
        <v/>
      </c>
      <c r="J12" s="34">
        <f>IFERROR(IF(A12=1,0,H12*ASSUMPTIONS!$B$20),"")</f>
        <v/>
      </c>
      <c r="K12" s="34">
        <f>IFERROR(J12*ASSUMPTIONS!$B$21,"")</f>
        <v/>
      </c>
      <c r="L12" s="34">
        <f>IFERROR(J12-K12,"")</f>
        <v/>
      </c>
      <c r="M12" s="34">
        <f>IFERROR(IF(A12&gt;=ASSUMPTIONS!$B$23,L12*ASSUMPTIONS!$B$22,0),"")</f>
        <v/>
      </c>
      <c r="N12" s="34">
        <f>IFERROR(L12-M12,"")</f>
        <v/>
      </c>
    </row>
    <row r="13" ht="15" customHeight="1" s="239">
      <c r="A13" s="33" t="n">
        <v>10</v>
      </c>
      <c r="B13" s="34">
        <f>IFERROR(IF(A13=1,ASSUMPTIONS!$B$17,H12),"")</f>
        <v/>
      </c>
      <c r="C13" s="34">
        <f>I12</f>
        <v/>
      </c>
      <c r="D13" s="34">
        <f>IFERROR(K11,"")</f>
        <v/>
      </c>
      <c r="E13" s="34">
        <f>N11</f>
        <v/>
      </c>
      <c r="F13" s="34">
        <f>IFERROR(IF(A13=6,B13*ASSUMPTIONS!$B$24,IF(A13=7,B13*ASSUMPTIONS!$B$24,IF(A13&gt;=8,B13*ASSUMPTIONS!$B$25,0))),"")</f>
        <v/>
      </c>
      <c r="G13" s="34" t="n">
        <v>11</v>
      </c>
      <c r="H13" s="34">
        <f>IFERROR(MAX(0,B13+D13-F13),"")</f>
        <v/>
      </c>
      <c r="I13" s="34">
        <f>C13+E13-G13</f>
        <v/>
      </c>
      <c r="J13" s="34">
        <f>IFERROR(IF(A13=1,0,H13*ASSUMPTIONS!$B$20),"")</f>
        <v/>
      </c>
      <c r="K13" s="34">
        <f>IFERROR(J13*ASSUMPTIONS!$B$21,"")</f>
        <v/>
      </c>
      <c r="L13" s="34">
        <f>IFERROR(J13-K13,"")</f>
        <v/>
      </c>
      <c r="M13" s="34">
        <f>IFERROR(IF(A13&gt;=ASSUMPTIONS!$B$23,L13*ASSUMPTIONS!$B$22,0),"")</f>
        <v/>
      </c>
      <c r="N13" s="34">
        <f>IFERROR(L13-M13,"")</f>
        <v/>
      </c>
    </row>
    <row r="16" hidden="1" ht="15" customHeight="1" s="239">
      <c r="A16" s="30" t="inlineStr">
        <is>
          <t>1000-cow ranch model by year 17, from 80 cows  in year 1</t>
        </is>
      </c>
    </row>
    <row r="17" hidden="1" ht="15" customHeight="1" s="239">
      <c r="A17" s="33" t="n">
        <v>1</v>
      </c>
      <c r="B17" s="27">
        <f>IFERROR(IF(A17=1,ASSUMPTIONS!$B$17,H16),"")</f>
        <v/>
      </c>
      <c r="C17" s="27" t="n"/>
      <c r="D17" s="27">
        <f>IFERROR(0,"")</f>
        <v/>
      </c>
      <c r="E17" s="27" t="n"/>
      <c r="F17" s="27">
        <f>IFERROR(IF(A17=6,B17*ASSUMPTIONS!$B$24,IF(A17=7,B17*ASSUMPTIONS!$B$24,IF(A17&gt;=8,B17*ASSUMPTIONS!$B$25,0))),"")</f>
        <v/>
      </c>
      <c r="G17" s="27" t="n"/>
      <c r="H17" s="27">
        <f>IFERROR(MAX(0,B17+D17-F17),"")</f>
        <v/>
      </c>
      <c r="I17" s="27" t="n"/>
      <c r="J17" s="27">
        <f>IFERROR(IF(A17=1,0,H17*ASSUMPTIONS!$B$20),"")</f>
        <v/>
      </c>
      <c r="K17" s="27">
        <f>IFERROR(J17*ASSUMPTIONS!$B$21,"")</f>
        <v/>
      </c>
      <c r="L17" s="27">
        <f>IFERROR(J17-K17,"")</f>
        <v/>
      </c>
      <c r="M17" s="27">
        <f>IFERROR(IF(A17&gt;=ASSUMPTIONS!$B$23,L17*ASSUMPTIONS!$B$22,0),"")</f>
        <v/>
      </c>
      <c r="N17" s="27">
        <f>IFERROR(IF(B17&gt;=ASSUMPTIONS!$B$23,M17*ASSUMPTIONS!$B$22,0),"")</f>
        <v/>
      </c>
    </row>
    <row r="18" hidden="1" ht="15" customHeight="1" s="239">
      <c r="A18" s="33" t="n">
        <v>2</v>
      </c>
      <c r="B18" s="27">
        <f>IFERROR(IF(A18=1,ASSUMPTIONS!$B$17,H17),"")</f>
        <v/>
      </c>
      <c r="C18" s="27" t="n"/>
      <c r="D18" s="27">
        <f>IFERROR(0,"")</f>
        <v/>
      </c>
      <c r="E18" s="27" t="n"/>
      <c r="F18" s="27">
        <f>IFERROR(IF(A18=6,B18*ASSUMPTIONS!$B$24,IF(A18=7,B18*ASSUMPTIONS!$B$24,IF(A18&gt;=8,B18*ASSUMPTIONS!$B$25,0))),"")</f>
        <v/>
      </c>
      <c r="G18" s="27" t="n"/>
      <c r="H18" s="27">
        <f>IFERROR(MAX(0,B18+D18-F18),"")</f>
        <v/>
      </c>
      <c r="I18" s="27" t="n"/>
      <c r="J18" s="27">
        <f>IFERROR(IF(A18=1,0,H18*ASSUMPTIONS!$B$20),"")</f>
        <v/>
      </c>
      <c r="K18" s="27">
        <f>IFERROR(J18*ASSUMPTIONS!$B$21,"")</f>
        <v/>
      </c>
      <c r="L18" s="27">
        <f>IFERROR(J18-K18,"")</f>
        <v/>
      </c>
      <c r="M18" s="27">
        <f>IFERROR(IF(A18&gt;=ASSUMPTIONS!$B$23,L18*ASSUMPTIONS!$B$22,0),"")</f>
        <v/>
      </c>
      <c r="N18" s="27">
        <f>IFERROR(IF(B18&gt;=ASSUMPTIONS!$B$23,M18*ASSUMPTIONS!$B$22,0),"")</f>
        <v/>
      </c>
    </row>
    <row r="19" hidden="1" ht="15" customHeight="1" s="239">
      <c r="A19" s="33" t="n">
        <v>3</v>
      </c>
      <c r="B19" s="27">
        <f>IFERROR(IF(A19=1,ASSUMPTIONS!$B$17,H18),"")</f>
        <v/>
      </c>
      <c r="C19" s="27" t="n"/>
      <c r="D19" s="27">
        <f>IFERROR(K17,"")</f>
        <v/>
      </c>
      <c r="E19" s="27" t="n"/>
      <c r="F19" s="27">
        <f>IFERROR(IF(A19=6,B19*ASSUMPTIONS!$B$24,IF(A19=7,B19*ASSUMPTIONS!$B$24,IF(A19&gt;=8,B19*ASSUMPTIONS!$B$25,0))),"")</f>
        <v/>
      </c>
      <c r="G19" s="27" t="n"/>
      <c r="H19" s="27">
        <f>IFERROR(MAX(0,B19+D19-F19),"")</f>
        <v/>
      </c>
      <c r="I19" s="27" t="n"/>
      <c r="J19" s="27">
        <f>IFERROR(IF(A19=1,0,H19*ASSUMPTIONS!$B$20),"")</f>
        <v/>
      </c>
      <c r="K19" s="27">
        <f>IFERROR(J19*ASSUMPTIONS!$B$21,"")</f>
        <v/>
      </c>
      <c r="L19" s="27">
        <f>IFERROR(J19-K19,"")</f>
        <v/>
      </c>
      <c r="M19" s="27">
        <f>IFERROR(IF(A19&gt;=ASSUMPTIONS!$B$23,L19*ASSUMPTIONS!$B$22,0),"")</f>
        <v/>
      </c>
      <c r="N19" s="27">
        <f>IFERROR(IF(B19&gt;=ASSUMPTIONS!$B$23,M19*ASSUMPTIONS!$B$22,0),"")</f>
        <v/>
      </c>
    </row>
    <row r="20" hidden="1" ht="15" customHeight="1" s="239">
      <c r="A20" s="33" t="n">
        <v>4</v>
      </c>
      <c r="B20" s="27">
        <f>IFERROR(IF(A20=1,ASSUMPTIONS!$B$17,H19),"")</f>
        <v/>
      </c>
      <c r="C20" s="27" t="n"/>
      <c r="D20" s="27">
        <f>IFERROR(K18,"")</f>
        <v/>
      </c>
      <c r="E20" s="27" t="n"/>
      <c r="F20" s="27">
        <f>IFERROR(IF(A20=6,B20*ASSUMPTIONS!$B$24,IF(A20=7,B20*ASSUMPTIONS!$B$24,IF(A20&gt;=8,B20*ASSUMPTIONS!$B$25,0))),"")</f>
        <v/>
      </c>
      <c r="G20" s="27" t="n"/>
      <c r="H20" s="27">
        <f>IFERROR(MAX(0,B20+D20-F20),"")</f>
        <v/>
      </c>
      <c r="I20" s="27" t="n"/>
      <c r="J20" s="27">
        <f>IFERROR(IF(A20=1,0,H20*ASSUMPTIONS!$B$20),"")</f>
        <v/>
      </c>
      <c r="K20" s="27">
        <f>IFERROR(J20*ASSUMPTIONS!$B$21,"")</f>
        <v/>
      </c>
      <c r="L20" s="27">
        <f>IFERROR(J20-K20,"")</f>
        <v/>
      </c>
      <c r="M20" s="27">
        <f>IFERROR(IF(A20&gt;=ASSUMPTIONS!$B$23,L20*ASSUMPTIONS!$B$22,0),"")</f>
        <v/>
      </c>
      <c r="N20" s="27">
        <f>IFERROR(IF(B20&gt;=ASSUMPTIONS!$B$23,M20*ASSUMPTIONS!$B$22,0),"")</f>
        <v/>
      </c>
    </row>
    <row r="21" hidden="1" ht="15" customHeight="1" s="239">
      <c r="A21" s="33" t="n">
        <v>5</v>
      </c>
      <c r="B21" s="27">
        <f>IFERROR(IF(A21=1,ASSUMPTIONS!$B$17,H20),"")</f>
        <v/>
      </c>
      <c r="C21" s="27" t="n"/>
      <c r="D21" s="27">
        <f>IFERROR(K19,"")</f>
        <v/>
      </c>
      <c r="E21" s="27" t="n"/>
      <c r="F21" s="27">
        <f>IFERROR(IF(A21=6,B21*ASSUMPTIONS!$B$24,IF(A21=7,B21*ASSUMPTIONS!$B$24,IF(A21&gt;=8,B21*ASSUMPTIONS!$B$25,0))),"")</f>
        <v/>
      </c>
      <c r="G21" s="27" t="n"/>
      <c r="H21" s="27">
        <f>IFERROR(MAX(0,B21+D21-F21),"")</f>
        <v/>
      </c>
      <c r="I21" s="27" t="n"/>
      <c r="J21" s="27">
        <f>IFERROR(IF(A21=1,0,H21*ASSUMPTIONS!$B$20),"")</f>
        <v/>
      </c>
      <c r="K21" s="27">
        <f>IFERROR(J21*ASSUMPTIONS!$B$21,"")</f>
        <v/>
      </c>
      <c r="L21" s="27">
        <f>IFERROR(J21-K21,"")</f>
        <v/>
      </c>
      <c r="M21" s="27">
        <f>IFERROR(IF(A21&gt;=ASSUMPTIONS!$B$23,L21*ASSUMPTIONS!$B$22,0),"")</f>
        <v/>
      </c>
      <c r="N21" s="27">
        <f>IFERROR(IF(B21&gt;=ASSUMPTIONS!$B$23,M21*ASSUMPTIONS!$B$22,0),"")</f>
        <v/>
      </c>
    </row>
    <row r="22" hidden="1" ht="15" customHeight="1" s="239">
      <c r="A22" s="33" t="n">
        <v>6</v>
      </c>
      <c r="B22" s="27">
        <f>IFERROR(IF(A22=1,ASSUMPTIONS!$B$17,H21),"")</f>
        <v/>
      </c>
      <c r="C22" s="27" t="n"/>
      <c r="D22" s="27">
        <f>IFERROR(K20,"")</f>
        <v/>
      </c>
      <c r="E22" s="27" t="n"/>
      <c r="F22" s="27">
        <f>IFERROR(IF(A22=6,B22*ASSUMPTIONS!$B$24,IF(A22=7,B22*ASSUMPTIONS!$B$24,IF(A22&gt;=8,B22*ASSUMPTIONS!$B$25,0))),"")</f>
        <v/>
      </c>
      <c r="G22" s="27" t="n"/>
      <c r="H22" s="27">
        <f>IFERROR(MAX(0,B22+D22-F22),"")</f>
        <v/>
      </c>
      <c r="I22" s="27" t="n"/>
      <c r="J22" s="27">
        <f>IFERROR(IF(A22=1,0,H22*ASSUMPTIONS!$B$20),"")</f>
        <v/>
      </c>
      <c r="K22" s="27">
        <f>IFERROR(J22*ASSUMPTIONS!$B$21,"")</f>
        <v/>
      </c>
      <c r="L22" s="27">
        <f>IFERROR(J22-K22,"")</f>
        <v/>
      </c>
      <c r="M22" s="27">
        <f>IFERROR(IF(A22&gt;=ASSUMPTIONS!$B$23,L22*ASSUMPTIONS!$B$22,0),"")</f>
        <v/>
      </c>
      <c r="N22" s="27">
        <f>IFERROR(IF(B22&gt;=ASSUMPTIONS!$B$23,M22*ASSUMPTIONS!$B$22,0),"")</f>
        <v/>
      </c>
    </row>
    <row r="23" hidden="1" ht="15" customHeight="1" s="239">
      <c r="A23" s="33" t="n">
        <v>7</v>
      </c>
      <c r="B23" s="27">
        <f>IFERROR(IF(A23=1,ASSUMPTIONS!$B$17,H22),"")</f>
        <v/>
      </c>
      <c r="C23" s="27" t="n"/>
      <c r="D23" s="27">
        <f>IFERROR(K21,"")</f>
        <v/>
      </c>
      <c r="E23" s="27" t="n"/>
      <c r="F23" s="27">
        <f>IFERROR(IF(A23=6,B23*ASSUMPTIONS!$B$24,IF(A23=7,B23*ASSUMPTIONS!$B$24,IF(A23&gt;=8,B23*ASSUMPTIONS!$B$25,0))),"")</f>
        <v/>
      </c>
      <c r="G23" s="27" t="n"/>
      <c r="H23" s="27">
        <f>IFERROR(MAX(0,B23+D23-F23),"")</f>
        <v/>
      </c>
      <c r="I23" s="27" t="n"/>
      <c r="J23" s="27">
        <f>IFERROR(IF(A23=1,0,H23*ASSUMPTIONS!$B$20),"")</f>
        <v/>
      </c>
      <c r="K23" s="27">
        <f>IFERROR(J23*ASSUMPTIONS!$B$21,"")</f>
        <v/>
      </c>
      <c r="L23" s="27">
        <f>IFERROR(J23-K23,"")</f>
        <v/>
      </c>
      <c r="M23" s="27">
        <f>IFERROR(IF(A23&gt;=ASSUMPTIONS!$B$23,L23*ASSUMPTIONS!$B$22,0),"")</f>
        <v/>
      </c>
      <c r="N23" s="27">
        <f>IFERROR(IF(B23&gt;=ASSUMPTIONS!$B$23,M23*ASSUMPTIONS!$B$22,0),"")</f>
        <v/>
      </c>
    </row>
    <row r="24" hidden="1" ht="15" customHeight="1" s="239">
      <c r="A24" s="33" t="n">
        <v>8</v>
      </c>
      <c r="B24" s="27">
        <f>IFERROR(IF(A24=1,ASSUMPTIONS!$B$17,H23),"")</f>
        <v/>
      </c>
      <c r="C24" s="27" t="n"/>
      <c r="D24" s="27">
        <f>IFERROR(K22,"")</f>
        <v/>
      </c>
      <c r="E24" s="27" t="n"/>
      <c r="F24" s="27">
        <f>IFERROR(IF(A24=6,B24*ASSUMPTIONS!$B$24,IF(A24=7,B24*ASSUMPTIONS!$B$24,IF(A24&gt;=8,B24*ASSUMPTIONS!$B$25,0))),"")</f>
        <v/>
      </c>
      <c r="G24" s="27" t="n"/>
      <c r="H24" s="27">
        <f>IFERROR(MAX(0,B24+D24-F24),"")</f>
        <v/>
      </c>
      <c r="I24" s="27" t="n"/>
      <c r="J24" s="27">
        <f>IFERROR(IF(A24=1,0,H24*ASSUMPTIONS!$B$20),"")</f>
        <v/>
      </c>
      <c r="K24" s="27">
        <f>IFERROR(J24*ASSUMPTIONS!$B$21,"")</f>
        <v/>
      </c>
      <c r="L24" s="27">
        <f>IFERROR(J24-K24,"")</f>
        <v/>
      </c>
      <c r="M24" s="27">
        <f>IFERROR(IF(A24&gt;=ASSUMPTIONS!$B$23,L24*ASSUMPTIONS!$B$22,0),"")</f>
        <v/>
      </c>
      <c r="N24" s="27">
        <f>IFERROR(IF(B24&gt;=ASSUMPTIONS!$B$23,M24*ASSUMPTIONS!$B$22,0),"")</f>
        <v/>
      </c>
    </row>
    <row r="25" hidden="1" ht="15" customHeight="1" s="239">
      <c r="A25" s="33" t="n">
        <v>9</v>
      </c>
      <c r="B25" s="27">
        <f>IFERROR(IF(A25=1,ASSUMPTIONS!$B$17,H24),"")</f>
        <v/>
      </c>
      <c r="C25" s="27" t="n"/>
      <c r="D25" s="27">
        <f>IFERROR(K23,"")</f>
        <v/>
      </c>
      <c r="E25" s="27" t="n"/>
      <c r="F25" s="27">
        <f>IFERROR(IF(A25=6,B25*ASSUMPTIONS!$B$24,IF(A25=7,B25*ASSUMPTIONS!$B$24,IF(A25&gt;=8,B25*ASSUMPTIONS!$B$25,0))),"")</f>
        <v/>
      </c>
      <c r="G25" s="27" t="n"/>
      <c r="H25" s="27">
        <f>IFERROR(MAX(0,B25+D25-F25),"")</f>
        <v/>
      </c>
      <c r="I25" s="27" t="n"/>
      <c r="J25" s="27">
        <f>IFERROR(IF(A25=1,0,H25*ASSUMPTIONS!$B$20),"")</f>
        <v/>
      </c>
      <c r="K25" s="27">
        <f>IFERROR(J25*ASSUMPTIONS!$B$21,"")</f>
        <v/>
      </c>
      <c r="L25" s="27">
        <f>IFERROR(J25-K25,"")</f>
        <v/>
      </c>
      <c r="M25" s="27">
        <f>IFERROR(IF(A25&gt;=ASSUMPTIONS!$B$23,L25*ASSUMPTIONS!$B$22,0),"")</f>
        <v/>
      </c>
      <c r="N25" s="27">
        <f>IFERROR(IF(B25&gt;=ASSUMPTIONS!$B$23,M25*ASSUMPTIONS!$B$22,0),"")</f>
        <v/>
      </c>
    </row>
    <row r="26" hidden="1" ht="15" customHeight="1" s="239">
      <c r="A26" s="33" t="n">
        <v>10</v>
      </c>
      <c r="B26" s="27">
        <f>IFERROR(IF(A26=1,ASSUMPTIONS!$B$17,H25),"")</f>
        <v/>
      </c>
      <c r="C26" s="27" t="n"/>
      <c r="D26" s="27">
        <f>IFERROR(K24,"")</f>
        <v/>
      </c>
      <c r="E26" s="27" t="n"/>
      <c r="F26" s="27">
        <f>IFERROR(IF(A26=6,B26*ASSUMPTIONS!$B$24,IF(A26=7,B26*ASSUMPTIONS!$B$24,IF(A26&gt;=8,B26*ASSUMPTIONS!$B$25,0))),"")</f>
        <v/>
      </c>
      <c r="G26" s="27" t="n"/>
      <c r="H26" s="27">
        <f>IFERROR(MAX(0,B26+D26-F26),"")</f>
        <v/>
      </c>
      <c r="I26" s="27" t="n"/>
      <c r="J26" s="27">
        <f>IFERROR(IF(A26=1,0,H26*ASSUMPTIONS!$B$20),"")</f>
        <v/>
      </c>
      <c r="K26" s="27">
        <f>IFERROR(J26*ASSUMPTIONS!$B$21,"")</f>
        <v/>
      </c>
      <c r="L26" s="27">
        <f>IFERROR(J26-K26,"")</f>
        <v/>
      </c>
      <c r="M26" s="27">
        <f>IFERROR(IF(A26&gt;=ASSUMPTIONS!$B$23,L26*ASSUMPTIONS!$B$22,0),"")</f>
        <v/>
      </c>
      <c r="N26" s="27">
        <f>IFERROR(IF(B26&gt;=ASSUMPTIONS!$B$23,M26*ASSUMPTIONS!$B$22,0),"")</f>
        <v/>
      </c>
    </row>
    <row r="27" hidden="1" ht="15" customHeight="1" s="239">
      <c r="A27" s="33" t="n">
        <v>11</v>
      </c>
      <c r="B27" s="27">
        <f>IFERROR(IF(A27=1,ASSUMPTIONS!$B$17,H26),"")</f>
        <v/>
      </c>
      <c r="C27" s="27" t="n"/>
      <c r="D27" s="27">
        <f>IFERROR(K25,"")</f>
        <v/>
      </c>
      <c r="E27" s="27" t="n"/>
      <c r="F27" s="27">
        <f>IFERROR(IF(A27=6,B27*ASSUMPTIONS!$B$24,IF(A27=7,B27*ASSUMPTIONS!$B$24,IF(A27&gt;=8,B27*ASSUMPTIONS!$B$25,0))),"")</f>
        <v/>
      </c>
      <c r="G27" s="27" t="n"/>
      <c r="H27" s="27">
        <f>IFERROR(MAX(0,B27+D27-F27),"")</f>
        <v/>
      </c>
      <c r="I27" s="27" t="n"/>
      <c r="J27" s="27">
        <f>IFERROR(IF(A27=1,0,H27*ASSUMPTIONS!$B$20),"")</f>
        <v/>
      </c>
      <c r="K27" s="27">
        <f>IFERROR(J27*ASSUMPTIONS!$B$21,"")</f>
        <v/>
      </c>
      <c r="L27" s="27">
        <f>IFERROR(J27-K27,"")</f>
        <v/>
      </c>
      <c r="M27" s="27">
        <f>IFERROR(IF(A27&gt;=ASSUMPTIONS!$B$23,L27*ASSUMPTIONS!$B$22,0),"")</f>
        <v/>
      </c>
      <c r="N27" s="27">
        <f>IFERROR(IF(B27&gt;=ASSUMPTIONS!$B$23,M27*ASSUMPTIONS!$B$22,0),"")</f>
        <v/>
      </c>
    </row>
    <row r="28" hidden="1" ht="15" customHeight="1" s="239">
      <c r="A28" s="33" t="n">
        <v>12</v>
      </c>
      <c r="B28" s="27">
        <f>IFERROR(IF(A28=1,ASSUMPTIONS!$B$17,H27),"")</f>
        <v/>
      </c>
      <c r="C28" s="27" t="n"/>
      <c r="D28" s="27">
        <f>IFERROR(K26,"")</f>
        <v/>
      </c>
      <c r="E28" s="27" t="n"/>
      <c r="F28" s="27">
        <f>IFERROR(IF(A28=6,B28*ASSUMPTIONS!$B$24,IF(A28=7,B28*ASSUMPTIONS!$B$24,IF(A28&gt;=8,B28*ASSUMPTIONS!$B$25,0))),"")</f>
        <v/>
      </c>
      <c r="G28" s="27" t="n"/>
      <c r="H28" s="27">
        <f>IFERROR(MAX(0,B28+D28-F28),"")</f>
        <v/>
      </c>
      <c r="I28" s="27" t="n"/>
      <c r="J28" s="27">
        <f>IFERROR(IF(A28=1,0,H28*ASSUMPTIONS!$B$20),"")</f>
        <v/>
      </c>
      <c r="K28" s="27">
        <f>IFERROR(J28*ASSUMPTIONS!$B$21,"")</f>
        <v/>
      </c>
      <c r="L28" s="27">
        <f>IFERROR(J28-K28,"")</f>
        <v/>
      </c>
      <c r="M28" s="27">
        <f>IFERROR(IF(A28&gt;=ASSUMPTIONS!$B$23,L28*ASSUMPTIONS!$B$22,0),"")</f>
        <v/>
      </c>
      <c r="N28" s="27">
        <f>IFERROR(IF(B28&gt;=ASSUMPTIONS!$B$23,M28*ASSUMPTIONS!$B$22,0),"")</f>
        <v/>
      </c>
    </row>
    <row r="29" hidden="1" ht="15" customHeight="1" s="239">
      <c r="A29" s="33" t="n">
        <v>13</v>
      </c>
      <c r="B29" s="27">
        <f>IFERROR(IF(A29=1,ASSUMPTIONS!$B$17,H28),"")</f>
        <v/>
      </c>
      <c r="C29" s="27" t="n"/>
      <c r="D29" s="27">
        <f>IFERROR(K27,"")</f>
        <v/>
      </c>
      <c r="E29" s="27" t="n"/>
      <c r="F29" s="27">
        <f>IFERROR(IF(A29=6,B29*ASSUMPTIONS!$B$24,IF(A29=7,B29*ASSUMPTIONS!$B$24,IF(A29&gt;=8,B29*ASSUMPTIONS!$B$25,0))),"")</f>
        <v/>
      </c>
      <c r="G29" s="27" t="n"/>
      <c r="H29" s="27">
        <f>IFERROR(MAX(0,B29+D29-F29),"")</f>
        <v/>
      </c>
      <c r="I29" s="27" t="n"/>
      <c r="J29" s="27">
        <f>IFERROR(IF(A29=1,0,H29*ASSUMPTIONS!$B$20),"")</f>
        <v/>
      </c>
      <c r="K29" s="27">
        <f>IFERROR(J29*ASSUMPTIONS!$B$21,"")</f>
        <v/>
      </c>
      <c r="L29" s="27">
        <f>IFERROR(J29-K29,"")</f>
        <v/>
      </c>
      <c r="M29" s="27">
        <f>IFERROR(IF(A29&gt;=ASSUMPTIONS!$B$23,L29*ASSUMPTIONS!$B$22,0),"")</f>
        <v/>
      </c>
      <c r="N29" s="27">
        <f>IFERROR(IF(B29&gt;=ASSUMPTIONS!$B$23,M29*ASSUMPTIONS!$B$22,0),"")</f>
        <v/>
      </c>
    </row>
    <row r="30" hidden="1" ht="15" customHeight="1" s="239">
      <c r="A30" s="35" t="n">
        <v>14</v>
      </c>
      <c r="B30" s="36">
        <f>IFERROR(IF(A30=1,ASSUMPTIONS!$B$17,H29),"")</f>
        <v/>
      </c>
      <c r="C30" s="36" t="n"/>
      <c r="D30" s="36">
        <f>IFERROR(K28,"")</f>
        <v/>
      </c>
      <c r="E30" s="36" t="n"/>
      <c r="F30" s="36">
        <f>IFERROR(IF(A30=6,B30*ASSUMPTIONS!$B$24,IF(A30=7,B30*ASSUMPTIONS!$B$24,IF(A30&gt;=8,B30*ASSUMPTIONS!$B$25,0))),"")</f>
        <v/>
      </c>
      <c r="G30" s="36" t="n"/>
      <c r="H30" s="36">
        <f>IFERROR(MAX(0,B30+D30-F30),"")</f>
        <v/>
      </c>
      <c r="I30" s="36" t="n"/>
      <c r="J30" s="36">
        <f>IFERROR(IF(A30=1,0,H30*ASSUMPTIONS!$B$20),"")</f>
        <v/>
      </c>
      <c r="K30" s="36">
        <f>IFERROR(J30*ASSUMPTIONS!$B$21,"")</f>
        <v/>
      </c>
      <c r="L30" s="36">
        <f>IFERROR(J30-K30,"")</f>
        <v/>
      </c>
      <c r="M30" s="36">
        <f>IFERROR(IF(A30&gt;=ASSUMPTIONS!$B$23,L30*ASSUMPTIONS!$B$22,0),"")</f>
        <v/>
      </c>
      <c r="N30" s="36">
        <f>IFERROR(IF(B30&gt;=ASSUMPTIONS!$B$23,M30*ASSUMPTIONS!$B$22,0),"")</f>
        <v/>
      </c>
    </row>
    <row r="31" hidden="1" ht="15" customHeight="1" s="239">
      <c r="A31" s="33" t="n">
        <v>15</v>
      </c>
      <c r="B31" s="27">
        <f>IFERROR(IF(A31=1,ASSUMPTIONS!$B$17,H30),"")</f>
        <v/>
      </c>
      <c r="C31" s="27" t="n"/>
      <c r="D31" s="27">
        <f>IFERROR(K29,"")</f>
        <v/>
      </c>
      <c r="E31" s="27" t="n"/>
      <c r="F31" s="27">
        <f>IFERROR(IF(A31=6,B31*ASSUMPTIONS!$B$24,IF(A31=7,B31*ASSUMPTIONS!$B$24,IF(A31&gt;=8,B31*ASSUMPTIONS!$B$25,0))),"")</f>
        <v/>
      </c>
      <c r="G31" s="27" t="n"/>
      <c r="H31" s="27">
        <f>IFERROR(MAX(0,B31+D31-F31),"")</f>
        <v/>
      </c>
      <c r="I31" s="27" t="n"/>
      <c r="J31" s="27">
        <f>IFERROR(IF(A31=1,0,H31*ASSUMPTIONS!$B$20),"")</f>
        <v/>
      </c>
      <c r="K31" s="27">
        <f>IFERROR(J31*ASSUMPTIONS!$B$21,"")</f>
        <v/>
      </c>
      <c r="L31" s="27">
        <f>IFERROR(J31-K31,"")</f>
        <v/>
      </c>
      <c r="M31" s="27">
        <f>IFERROR(IF(A31&gt;=ASSUMPTIONS!$B$23,L31*ASSUMPTIONS!$B$22,0),"")</f>
        <v/>
      </c>
      <c r="N31" s="27">
        <f>IFERROR(IF(B31&gt;=ASSUMPTIONS!$B$23,M31*ASSUMPTIONS!$B$22,0),"")</f>
        <v/>
      </c>
    </row>
    <row r="32" hidden="1" ht="15" customHeight="1" s="239">
      <c r="A32" s="33" t="n">
        <v>16</v>
      </c>
      <c r="B32" s="27">
        <f>IFERROR(IF(A32=1,ASSUMPTIONS!$B$17,H31),"")</f>
        <v/>
      </c>
      <c r="C32" s="27" t="n"/>
      <c r="D32" s="27">
        <f>IFERROR(K30,"")</f>
        <v/>
      </c>
      <c r="E32" s="27" t="n"/>
      <c r="F32" s="27">
        <f>IFERROR(IF(A32=6,B32*ASSUMPTIONS!$B$24,IF(A32=7,B32*ASSUMPTIONS!$B$24,IF(A32&gt;=8,B32*ASSUMPTIONS!$B$25,0))),"")</f>
        <v/>
      </c>
      <c r="G32" s="27" t="n"/>
      <c r="H32" s="27">
        <f>IFERROR(MAX(0,B32+D32-F32),"")</f>
        <v/>
      </c>
      <c r="I32" s="27" t="n"/>
      <c r="J32" s="27">
        <f>IFERROR(IF(A32=1,0,H32*ASSUMPTIONS!$B$20),"")</f>
        <v/>
      </c>
      <c r="K32" s="27">
        <f>IFERROR(J32*ASSUMPTIONS!$B$21,"")</f>
        <v/>
      </c>
      <c r="L32" s="27">
        <f>IFERROR(J32-K32,"")</f>
        <v/>
      </c>
      <c r="M32" s="27">
        <f>IFERROR(IF(A32&gt;=ASSUMPTIONS!$B$23,L32*ASSUMPTIONS!$B$22,0),"")</f>
        <v/>
      </c>
      <c r="N32" s="27">
        <f>IFERROR(IF(B32&gt;=ASSUMPTIONS!$B$23,M32*ASSUMPTIONS!$B$22,0),"")</f>
        <v/>
      </c>
    </row>
    <row r="33" hidden="1" ht="15" customHeight="1" s="239">
      <c r="A33" s="33" t="n">
        <v>17</v>
      </c>
      <c r="B33" s="37">
        <f>IFERROR(IF(A33=1,ASSUMPTIONS!$B$17,H32),"")</f>
        <v/>
      </c>
      <c r="C33" s="37" t="n"/>
      <c r="D33" s="37">
        <f>IFERROR(K31,"")</f>
        <v/>
      </c>
      <c r="E33" s="37" t="n"/>
      <c r="F33" s="37">
        <f>IFERROR(IF(A33=6,B33*ASSUMPTIONS!$B$24,IF(A33=7,B33*ASSUMPTIONS!$B$24,IF(A33&gt;=8,B33*ASSUMPTIONS!$B$25,0))),"")</f>
        <v/>
      </c>
      <c r="G33" s="37" t="n"/>
      <c r="H33" s="37">
        <f>IFERROR(MAX(0,B33+D33-F33),"")</f>
        <v/>
      </c>
      <c r="I33" s="37" t="n"/>
      <c r="J33" s="37">
        <f>IFERROR(IF(A33=1,0,H33*ASSUMPTIONS!$B$20),"")</f>
        <v/>
      </c>
      <c r="K33" s="37">
        <f>IFERROR(J33*ASSUMPTIONS!$B$21,"")</f>
        <v/>
      </c>
      <c r="L33" s="37">
        <f>IFERROR(J33-K33,"")</f>
        <v/>
      </c>
      <c r="M33" s="37">
        <f>IFERROR(IF(A33&gt;=ASSUMPTIONS!$B$23,L33*ASSUMPTIONS!$B$22,0),"")</f>
        <v/>
      </c>
      <c r="N33" s="37">
        <f>IFERROR(IF(B33&gt;=ASSUMPTIONS!$B$23,M33*ASSUMPTIONS!$B$22,0),"")</f>
        <v/>
      </c>
    </row>
    <row r="34" hidden="1" ht="15" customHeight="1" s="239">
      <c r="A34" s="33" t="n">
        <v>18</v>
      </c>
      <c r="B34" s="27">
        <f>IFERROR(IF(A34=1,ASSUMPTIONS!$B$17,H33),"")</f>
        <v/>
      </c>
      <c r="C34" s="27" t="n"/>
      <c r="D34" s="27">
        <f>IFERROR(K32,"")</f>
        <v/>
      </c>
      <c r="E34" s="27" t="n"/>
      <c r="F34" s="27">
        <f>IFERROR(IF(A34=6,B34*ASSUMPTIONS!$B$24,IF(A34=7,B34*ASSUMPTIONS!$B$24,IF(A34&gt;=8,B34*ASSUMPTIONS!$B$25,0))),"")</f>
        <v/>
      </c>
      <c r="G34" s="27" t="n"/>
      <c r="H34" s="27">
        <f>IFERROR(MAX(0,B34+D34-F34),"")</f>
        <v/>
      </c>
      <c r="I34" s="27" t="n"/>
      <c r="J34" s="27">
        <f>IFERROR(IF(A34=1,0,H34*ASSUMPTIONS!$B$20),"")</f>
        <v/>
      </c>
      <c r="K34" s="27">
        <f>IFERROR(J34*ASSUMPTIONS!$B$21,"")</f>
        <v/>
      </c>
      <c r="L34" s="27">
        <f>IFERROR(J34-K34,"")</f>
        <v/>
      </c>
      <c r="M34" s="27">
        <f>IFERROR(IF(A34&gt;=ASSUMPTIONS!$B$23,L34*ASSUMPTIONS!$B$22,0),"")</f>
        <v/>
      </c>
      <c r="N34" s="27">
        <f>IFERROR(IF(B34&gt;=ASSUMPTIONS!$B$23,M34*ASSUMPTIONS!$B$22,0),"")</f>
        <v/>
      </c>
    </row>
    <row r="35" hidden="1" ht="15" customHeight="1" s="239">
      <c r="A35" s="33" t="n">
        <v>19</v>
      </c>
      <c r="B35" s="27">
        <f>IFERROR(IF(A35=1,ASSUMPTIONS!$B$17,H34),"")</f>
        <v/>
      </c>
      <c r="C35" s="27" t="n"/>
      <c r="D35" s="27">
        <f>IFERROR(K33,"")</f>
        <v/>
      </c>
      <c r="E35" s="27" t="n"/>
      <c r="F35" s="27">
        <f>IFERROR(IF(A35=6,B35*ASSUMPTIONS!$B$24,IF(A35=7,B35*ASSUMPTIONS!$B$24,IF(A35&gt;=8,B35*ASSUMPTIONS!$B$25,0))),"")</f>
        <v/>
      </c>
      <c r="G35" s="27" t="n"/>
      <c r="H35" s="27">
        <f>IFERROR(MAX(0,B35+D35-F35),"")</f>
        <v/>
      </c>
      <c r="I35" s="27" t="n"/>
      <c r="J35" s="27">
        <f>IFERROR(IF(A35=1,0,H35*ASSUMPTIONS!$B$20),"")</f>
        <v/>
      </c>
      <c r="K35" s="27">
        <f>IFERROR(J35*ASSUMPTIONS!$B$21,"")</f>
        <v/>
      </c>
      <c r="L35" s="27">
        <f>IFERROR(J35-K35,"")</f>
        <v/>
      </c>
      <c r="M35" s="27">
        <f>IFERROR(IF(A35&gt;=ASSUMPTIONS!$B$23,L35*ASSUMPTIONS!$B$22,0),"")</f>
        <v/>
      </c>
      <c r="N35" s="27">
        <f>IFERROR(IF(B35&gt;=ASSUMPTIONS!$B$23,M35*ASSUMPTIONS!$B$22,0),"")</f>
        <v/>
      </c>
    </row>
    <row r="36" hidden="1" ht="15" customHeight="1" s="239">
      <c r="A36" s="33" t="n">
        <v>20</v>
      </c>
      <c r="B36" s="27">
        <f>IFERROR(IF(A36=1,ASSUMPTIONS!$B$17,H35),"")</f>
        <v/>
      </c>
      <c r="C36" s="27" t="n"/>
      <c r="D36" s="27">
        <f>IFERROR(K34,"")</f>
        <v/>
      </c>
      <c r="E36" s="27" t="n"/>
      <c r="F36" s="27">
        <f>IFERROR(IF(A36=6,B36*ASSUMPTIONS!$B$24,IF(A36=7,B36*ASSUMPTIONS!$B$24,IF(A36&gt;=8,B36*ASSUMPTIONS!$B$25,0))),"")</f>
        <v/>
      </c>
      <c r="G36" s="27" t="n"/>
      <c r="H36" s="27">
        <f>IFERROR(MAX(0,B36+D36-F36),"")</f>
        <v/>
      </c>
      <c r="I36" s="27" t="n"/>
      <c r="J36" s="27">
        <f>IFERROR(IF(A36=1,0,H36*ASSUMPTIONS!$B$20),"")</f>
        <v/>
      </c>
      <c r="K36" s="27">
        <f>IFERROR(J36*ASSUMPTIONS!$B$21,"")</f>
        <v/>
      </c>
      <c r="L36" s="27">
        <f>IFERROR(J36-K36,"")</f>
        <v/>
      </c>
      <c r="M36" s="27">
        <f>IFERROR(IF(A36&gt;=ASSUMPTIONS!$B$23,L36*ASSUMPTIONS!$B$22,0),"")</f>
        <v/>
      </c>
      <c r="N36" s="27">
        <f>IFERROR(IF(B36&gt;=ASSUMPTIONS!$B$23,M36*ASSUMPTIONS!$B$22,0),"")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1">
    <mergeCell ref="A1:O1"/>
  </mergeCells>
  <pageMargins left="0.5" right="0.5" top="1" bottom="1" header="0.5" footer="0.5"/>
  <pageSetup orientation="landscape" horizontalDpi="300" verticalDpi="300"/>
  <headerFooter>
    <oddHeader>&amp;L&amp;A&amp;C&amp;"Calibri,Bold" Confidential&amp;RPage &amp;P</oddHeader>
    <oddFooter>&amp;C&amp;F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97"/>
  <sheetViews>
    <sheetView showGridLines="0" topLeftCell="A1" workbookViewId="0">
      <pane xSplit="1" ySplit="3" topLeftCell="B15" activePane="bottomRight" state="frozen"/>
      <selection pane="topRight" activeCell="A1" sqref="A1"/>
      <selection pane="bottomLeft" activeCell="A1" sqref="A1"/>
      <selection pane="bottomRight" activeCell="A1" sqref="A1:K1"/>
    </sheetView>
  </sheetViews>
  <sheetFormatPr baseColWidth="10" defaultColWidth="8.83203125" defaultRowHeight="15"/>
  <cols>
    <col width="30" customWidth="1" style="239" min="1" max="1"/>
    <col width="15" customWidth="1" style="239" min="2" max="11"/>
  </cols>
  <sheetData>
    <row r="1" ht="21" customHeight="1" s="239">
      <c r="A1" s="253" t="inlineStr">
        <is>
          <t>Feed Farm Business Unit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1" t="n"/>
    </row>
    <row r="2">
      <c r="A2" s="257" t="inlineStr">
        <is>
          <t>Formula-linked feed production, internal transfer, external sales, EBITDA, and CFADS.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1" t="n"/>
    </row>
    <row r="3" ht="16" customHeight="1" s="239">
      <c r="A3" s="154" t="inlineStr">
        <is>
          <t>Line Item</t>
        </is>
      </c>
      <c r="B3" s="154" t="inlineStr">
        <is>
          <t>Y1</t>
        </is>
      </c>
      <c r="C3" s="154" t="inlineStr">
        <is>
          <t>Y2</t>
        </is>
      </c>
      <c r="D3" s="154" t="inlineStr">
        <is>
          <t>Y3</t>
        </is>
      </c>
      <c r="E3" s="154" t="inlineStr">
        <is>
          <t>Y4</t>
        </is>
      </c>
      <c r="F3" s="154" t="inlineStr">
        <is>
          <t>Y5</t>
        </is>
      </c>
      <c r="G3" s="154" t="inlineStr">
        <is>
          <t>Y6</t>
        </is>
      </c>
      <c r="H3" s="154" t="inlineStr">
        <is>
          <t>Y7</t>
        </is>
      </c>
      <c r="I3" s="154" t="inlineStr">
        <is>
          <t>Y8</t>
        </is>
      </c>
      <c r="J3" s="154" t="inlineStr">
        <is>
          <t>Y9</t>
        </is>
      </c>
      <c r="K3" s="154" t="inlineStr">
        <is>
          <t>Y10</t>
        </is>
      </c>
    </row>
    <row r="4" ht="16" customHeight="1" s="239">
      <c r="A4" s="220" t="inlineStr">
        <is>
          <t>Cultivated acres</t>
        </is>
      </c>
      <c r="B4" s="221" t="n">
        <v>80</v>
      </c>
      <c r="C4" s="221">
        <f>IFERROR(B4+(120-80)/9,"")</f>
        <v/>
      </c>
      <c r="D4" s="221">
        <f>IFERROR(C4+(120-80)/9,"")</f>
        <v/>
      </c>
      <c r="E4" s="221">
        <f>IFERROR(D4+(120-80)/9,"")</f>
        <v/>
      </c>
      <c r="F4" s="221">
        <f>IFERROR(E4+(120-80)/9,"")</f>
        <v/>
      </c>
      <c r="G4" s="221">
        <f>IFERROR(F4+(120-80)/9,"")</f>
        <v/>
      </c>
      <c r="H4" s="221">
        <f>IFERROR(G4+(120-80)/9,"")</f>
        <v/>
      </c>
      <c r="I4" s="221">
        <f>IFERROR(H4+(120-80)/9,"")</f>
        <v/>
      </c>
      <c r="J4" s="221">
        <f>IFERROR(I4+(120-80)/9,"")</f>
        <v/>
      </c>
      <c r="K4" s="221">
        <f>IFERROR(J4+(120-80)/9,"")</f>
        <v/>
      </c>
    </row>
    <row r="5" ht="16" customHeight="1" s="239">
      <c r="A5" s="155" t="inlineStr">
        <is>
          <t xml:space="preserve">King grass Yield tons </t>
        </is>
      </c>
      <c r="B5" s="222">
        <f>IFERROR(B50*$B$62*$B$61,"")</f>
        <v/>
      </c>
      <c r="C5" s="217">
        <f>IFERROR(C50*$B$62*$B$61,"")</f>
        <v/>
      </c>
      <c r="D5" s="217">
        <f>IFERROR(D50*$B$62*$B$61,"")</f>
        <v/>
      </c>
      <c r="E5" s="217">
        <f>IFERROR(E50*$B$62*$B$61,"")</f>
        <v/>
      </c>
      <c r="F5" s="217">
        <f>IFERROR(F50*$B$62*$B$61,"")</f>
        <v/>
      </c>
      <c r="G5" s="217">
        <f>IFERROR(G50*$B$62*$B$61,"")</f>
        <v/>
      </c>
      <c r="H5" s="217">
        <f>IFERROR(H50*$B$62*$B$61,"")</f>
        <v/>
      </c>
      <c r="I5" s="217">
        <f>IFERROR(I50*$B$62*$B$61,"")</f>
        <v/>
      </c>
      <c r="J5" s="217">
        <f>IFERROR(J50*$B$62*$B$61,"")</f>
        <v/>
      </c>
      <c r="K5" s="217">
        <f>IFERROR(K50*$B$62*$B$61,"")</f>
        <v/>
      </c>
    </row>
    <row r="6" ht="16" customHeight="1" s="239">
      <c r="A6" s="155" t="inlineStr">
        <is>
          <t>Alfalfa Yield tons</t>
        </is>
      </c>
      <c r="B6" s="217">
        <f>IFERROR(B52*$B$74*$B$73,"")</f>
        <v/>
      </c>
      <c r="C6" s="217">
        <f>IFERROR(C52*$B$74*$B$73,"")</f>
        <v/>
      </c>
      <c r="D6" s="217">
        <f>IFERROR(D52*$B$74*$B$73,"")</f>
        <v/>
      </c>
      <c r="E6" s="217">
        <f>IFERROR(E52*$B$74*$B$73,"")</f>
        <v/>
      </c>
      <c r="F6" s="217">
        <f>IFERROR(F52*$B$74*$B$73,"")</f>
        <v/>
      </c>
      <c r="G6" s="217">
        <f>IFERROR(G52*$B$74*$B$73,"")</f>
        <v/>
      </c>
      <c r="H6" s="217">
        <f>IFERROR(H52*$B$74*$B$73,"")</f>
        <v/>
      </c>
      <c r="I6" s="217">
        <f>IFERROR(I52*$B$74*$B$73,"")</f>
        <v/>
      </c>
      <c r="J6" s="217">
        <f>IFERROR(J52*$B$74*$B$73,"")</f>
        <v/>
      </c>
      <c r="K6" s="217">
        <f>IFERROR(K52*$B$74*$B$73,"")</f>
        <v/>
      </c>
    </row>
    <row r="7" ht="16" customHeight="1" s="239">
      <c r="A7" s="155" t="inlineStr">
        <is>
          <t xml:space="preserve">Corn Yield tons </t>
        </is>
      </c>
      <c r="B7" s="217">
        <f>IFERROR(B51*$B$68*$B$67,"")</f>
        <v/>
      </c>
      <c r="C7" s="217">
        <f>IFERROR(C51*$B$68*$B$67,"")</f>
        <v/>
      </c>
      <c r="D7" s="217">
        <f>IFERROR(D51*$B$68*$B$67,"")</f>
        <v/>
      </c>
      <c r="E7" s="217">
        <f>IFERROR(E51*$B$68*$B$67,"")</f>
        <v/>
      </c>
      <c r="F7" s="217">
        <f>IFERROR(F51*$B$68*$B$67,"")</f>
        <v/>
      </c>
      <c r="G7" s="217">
        <f>IFERROR(G51*$B$68*$B$67,"")</f>
        <v/>
      </c>
      <c r="H7" s="217">
        <f>IFERROR(H51*$B$68*$B$67,"")</f>
        <v/>
      </c>
      <c r="I7" s="217">
        <f>IFERROR(I51*$B$68*$B$67,"")</f>
        <v/>
      </c>
      <c r="J7" s="217">
        <f>IFERROR(J51*$B$68*$B$67,"")</f>
        <v/>
      </c>
      <c r="K7" s="217">
        <f>IFERROR(K51*$B$68*$B$67,"")</f>
        <v/>
      </c>
    </row>
    <row r="8" ht="16" customHeight="1" s="239">
      <c r="A8" s="155" t="inlineStr">
        <is>
          <t xml:space="preserve">Soybean Yield tons </t>
        </is>
      </c>
      <c r="B8" s="217">
        <f>IFERROR(B53*$B$80*$B$79,"")</f>
        <v/>
      </c>
      <c r="C8" s="217">
        <f>IFERROR(C53*$B$80*$B$79,"")</f>
        <v/>
      </c>
      <c r="D8" s="217">
        <f>IFERROR(D53*$B$80*$B$79,"")</f>
        <v/>
      </c>
      <c r="E8" s="217">
        <f>IFERROR(E53*$B$80*$B$79,"")</f>
        <v/>
      </c>
      <c r="F8" s="217">
        <f>IFERROR(F53*$B$80*$B$79,"")</f>
        <v/>
      </c>
      <c r="G8" s="217">
        <f>IFERROR(G53*$B$80*$B$79,"")</f>
        <v/>
      </c>
      <c r="H8" s="217">
        <f>IFERROR(H53*$B$80*$B$79,"")</f>
        <v/>
      </c>
      <c r="I8" s="217">
        <f>IFERROR(I53*$B$80*$B$79,"")</f>
        <v/>
      </c>
      <c r="J8" s="217">
        <f>IFERROR(J53*$B$80*$B$79,"")</f>
        <v/>
      </c>
      <c r="K8" s="217">
        <f>IFERROR(K53*$B$80*$B$79,"")</f>
        <v/>
      </c>
    </row>
    <row r="9" ht="16" customHeight="1" s="239">
      <c r="A9" s="155" t="inlineStr">
        <is>
          <t xml:space="preserve">Sesame Yield tons </t>
        </is>
      </c>
      <c r="B9" s="217">
        <f>IFERROR(B54*$B$86*$B$85,"")</f>
        <v/>
      </c>
      <c r="C9" s="217">
        <f>IFERROR(C54*$B$86*$B$85,"")</f>
        <v/>
      </c>
      <c r="D9" s="217">
        <f>IFERROR(D54*$B$86*$B$85,"")</f>
        <v/>
      </c>
      <c r="E9" s="217">
        <f>IFERROR(E54*$B$86*$B$85,"")</f>
        <v/>
      </c>
      <c r="F9" s="217">
        <f>IFERROR(F54*$B$86*$B$85,"")</f>
        <v/>
      </c>
      <c r="G9" s="217">
        <f>IFERROR(G54*$B$86*$B$85,"")</f>
        <v/>
      </c>
      <c r="H9" s="217">
        <f>IFERROR(H54*$B$86*$B$85,"")</f>
        <v/>
      </c>
      <c r="I9" s="217">
        <f>IFERROR(I54*$B$86*$B$85,"")</f>
        <v/>
      </c>
      <c r="J9" s="217">
        <f>IFERROR(J54*$B$86*$B$85,"")</f>
        <v/>
      </c>
      <c r="K9" s="217">
        <f>IFERROR(K54*$B$86*$B$85,"")</f>
        <v/>
      </c>
    </row>
    <row r="10" ht="16" customHeight="1" s="239">
      <c r="A10" s="151" t="inlineStr">
        <is>
          <t>Feed production tons</t>
        </is>
      </c>
      <c r="B10" s="223">
        <f>IFERROR(SUM(B5:B9),"")</f>
        <v/>
      </c>
      <c r="C10" s="223">
        <f>IFERROR(SUM(C5:C9),"")</f>
        <v/>
      </c>
      <c r="D10" s="223">
        <f>IFERROR(SUM(D5:D9),"")</f>
        <v/>
      </c>
      <c r="E10" s="223">
        <f>IFERROR(SUM(E5:E9),"")</f>
        <v/>
      </c>
      <c r="F10" s="223">
        <f>IFERROR(SUM(F5:F9),"")</f>
        <v/>
      </c>
      <c r="G10" s="223">
        <f>IFERROR(SUM(G5:G9),"")</f>
        <v/>
      </c>
      <c r="H10" s="223">
        <f>IFERROR(SUM(H5:H9),"")</f>
        <v/>
      </c>
      <c r="I10" s="223">
        <f>IFERROR(SUM(I5:I9),"")</f>
        <v/>
      </c>
      <c r="J10" s="223">
        <f>IFERROR(SUM(J5:J9),"")</f>
        <v/>
      </c>
      <c r="K10" s="223">
        <f>IFERROR(SUM(K5:K9),"")</f>
        <v/>
      </c>
    </row>
    <row r="11" ht="16" customHeight="1" s="239">
      <c r="A11" s="241" t="inlineStr">
        <is>
          <t>Dairy demand tons</t>
        </is>
      </c>
      <c r="B11" s="217">
        <f>IFERROR(DAIRY!B5*7.5,"")</f>
        <v/>
      </c>
      <c r="C11" s="217">
        <f>IFERROR(DAIRY!C5*7.5,"")</f>
        <v/>
      </c>
      <c r="D11" s="217">
        <f>IFERROR(DAIRY!D5*7.5,"")</f>
        <v/>
      </c>
      <c r="E11" s="217">
        <f>IFERROR(DAIRY!E5*7.5,"")</f>
        <v/>
      </c>
      <c r="F11" s="217">
        <f>IFERROR(DAIRY!F5*7.5,"")</f>
        <v/>
      </c>
      <c r="G11" s="217">
        <f>IFERROR(DAIRY!G5*7.5,"")</f>
        <v/>
      </c>
      <c r="H11" s="217">
        <f>IFERROR(DAIRY!H5*7.5,"")</f>
        <v/>
      </c>
      <c r="I11" s="217">
        <f>IFERROR(DAIRY!I5*7.5,"")</f>
        <v/>
      </c>
      <c r="J11" s="217">
        <f>IFERROR(DAIRY!J5*7.5,"")</f>
        <v/>
      </c>
      <c r="K11" s="217">
        <f>IFERROR(DAIRY!K5*7.5,"")</f>
        <v/>
      </c>
    </row>
    <row r="12" ht="16" customHeight="1" s="239">
      <c r="A12" s="155" t="inlineStr">
        <is>
          <t>Fattening demand tons</t>
        </is>
      </c>
      <c r="B12" s="217">
        <f>IFERROR(FATTENING!B13*8*120/1000,"")</f>
        <v/>
      </c>
      <c r="C12" s="217">
        <f>IFERROR(FATTENING!C13*8*120/1000,"")</f>
        <v/>
      </c>
      <c r="D12" s="217">
        <f>IFERROR(FATTENING!D13*8*120/1000,"")</f>
        <v/>
      </c>
      <c r="E12" s="217">
        <f>IFERROR(FATTENING!E13*8*120/1000,"")</f>
        <v/>
      </c>
      <c r="F12" s="217">
        <f>IFERROR(FATTENING!F13*8*120/1000,"")</f>
        <v/>
      </c>
      <c r="G12" s="217">
        <f>IFERROR(FATTENING!G13*8*120/1000,"")</f>
        <v/>
      </c>
      <c r="H12" s="217">
        <f>IFERROR(FATTENING!H13*8*120/1000,"")</f>
        <v/>
      </c>
      <c r="I12" s="217">
        <f>IFERROR(FATTENING!I13*8*120/1000,"")</f>
        <v/>
      </c>
      <c r="J12" s="217">
        <f>IFERROR(FATTENING!J13*8*120/1000,"")</f>
        <v/>
      </c>
      <c r="K12" s="217">
        <f>IFERROR(FATTENING!K13*8*120/1000,"")</f>
        <v/>
      </c>
    </row>
    <row r="13" ht="16" customHeight="1" s="239">
      <c r="A13" s="241" t="inlineStr">
        <is>
          <t>Total internal demand tons</t>
        </is>
      </c>
      <c r="B13" s="217">
        <f>IFERROR(B11+B12,"")</f>
        <v/>
      </c>
      <c r="C13" s="217">
        <f>IFERROR(C11+C12,"")</f>
        <v/>
      </c>
      <c r="D13" s="217">
        <f>IFERROR(D11+D12,"")</f>
        <v/>
      </c>
      <c r="E13" s="217">
        <f>IFERROR(E11+E12,"")</f>
        <v/>
      </c>
      <c r="F13" s="217">
        <f>IFERROR(F11+F12,"")</f>
        <v/>
      </c>
      <c r="G13" s="217">
        <f>IFERROR(G11+G12,"")</f>
        <v/>
      </c>
      <c r="H13" s="217">
        <f>IFERROR(H11+H12,"")</f>
        <v/>
      </c>
      <c r="I13" s="217">
        <f>IFERROR(I11+I12,"")</f>
        <v/>
      </c>
      <c r="J13" s="217">
        <f>IFERROR(J11+J12,"")</f>
        <v/>
      </c>
      <c r="K13" s="217">
        <f>IFERROR(K11+K12,"")</f>
        <v/>
      </c>
    </row>
    <row r="14" ht="16" customHeight="1" s="239">
      <c r="A14" s="241" t="inlineStr">
        <is>
          <t>Internal transfer tons</t>
        </is>
      </c>
      <c r="B14" s="217">
        <f>IFERROR(MIN(B10,B13),"")</f>
        <v/>
      </c>
      <c r="C14" s="217">
        <f>IFERROR(MIN(C10,C13),"")</f>
        <v/>
      </c>
      <c r="D14" s="217">
        <f>IFERROR(MIN(D10,D13),"")</f>
        <v/>
      </c>
      <c r="E14" s="217">
        <f>IFERROR(MIN(E10,E13),"")</f>
        <v/>
      </c>
      <c r="F14" s="217">
        <f>IFERROR(MIN(F10,F13),"")</f>
        <v/>
      </c>
      <c r="G14" s="217">
        <f>IFERROR(MIN(G10,G13),"")</f>
        <v/>
      </c>
      <c r="H14" s="217">
        <f>IFERROR(MIN(H10,H13),"")</f>
        <v/>
      </c>
      <c r="I14" s="217">
        <f>IFERROR(MIN(I10,I13),"")</f>
        <v/>
      </c>
      <c r="J14" s="217">
        <f>IFERROR(MIN(J10,J13),"")</f>
        <v/>
      </c>
      <c r="K14" s="217">
        <f>IFERROR(MIN(K10,K13),"")</f>
        <v/>
      </c>
    </row>
    <row r="15" ht="16" customHeight="1" s="239">
      <c r="A15" s="241" t="inlineStr">
        <is>
          <t>External sales tons</t>
        </is>
      </c>
      <c r="B15" s="217">
        <f>IFERROR(MAX(0,B10-B14),"")</f>
        <v/>
      </c>
      <c r="C15" s="217">
        <f>IFERROR(MAX(0,C10-C14),"")</f>
        <v/>
      </c>
      <c r="D15" s="217">
        <f>IFERROR(MAX(0,D10-D14),"")</f>
        <v/>
      </c>
      <c r="E15" s="217">
        <f>IFERROR(MAX(0,E10-E14),"")</f>
        <v/>
      </c>
      <c r="F15" s="217">
        <f>IFERROR(MAX(0,F10-F14),"")</f>
        <v/>
      </c>
      <c r="G15" s="217">
        <f>IFERROR(MAX(0,G10-G14),"")</f>
        <v/>
      </c>
      <c r="H15" s="217">
        <f>IFERROR(MAX(0,H10-H14),"")</f>
        <v/>
      </c>
      <c r="I15" s="217">
        <f>IFERROR(MAX(0,I10-I14),"")</f>
        <v/>
      </c>
      <c r="J15" s="217">
        <f>IFERROR(MAX(0,J10-J14),"")</f>
        <v/>
      </c>
      <c r="K15" s="217">
        <f>IFERROR(MAX(0,K10-K14),"")</f>
        <v/>
      </c>
    </row>
    <row r="16" ht="16" customHeight="1" s="239">
      <c r="A16" s="241" t="inlineStr">
        <is>
          <t>Internal transfer price / ton</t>
        </is>
      </c>
      <c r="B16" s="217">
        <f>IFERROR(TRANSFER_PRICING!$E$4,"")</f>
        <v/>
      </c>
      <c r="C16" s="217">
        <f>IFERROR(TRANSFER_PRICING!$E$4,"")</f>
        <v/>
      </c>
      <c r="D16" s="217">
        <f>IFERROR(TRANSFER_PRICING!$E$4,"")</f>
        <v/>
      </c>
      <c r="E16" s="217">
        <f>IFERROR(TRANSFER_PRICING!$E$4,"")</f>
        <v/>
      </c>
      <c r="F16" s="217">
        <f>IFERROR(TRANSFER_PRICING!$E$4,"")</f>
        <v/>
      </c>
      <c r="G16" s="217">
        <f>IFERROR(TRANSFER_PRICING!$E$4,"")</f>
        <v/>
      </c>
      <c r="H16" s="217">
        <f>IFERROR(TRANSFER_PRICING!$E$4,"")</f>
        <v/>
      </c>
      <c r="I16" s="217">
        <f>IFERROR(TRANSFER_PRICING!$E$4,"")</f>
        <v/>
      </c>
      <c r="J16" s="217">
        <f>IFERROR(TRANSFER_PRICING!$E$4,"")</f>
        <v/>
      </c>
      <c r="K16" s="217">
        <f>IFERROR(TRANSFER_PRICING!$E$4,"")</f>
        <v/>
      </c>
    </row>
    <row r="17" ht="16" customHeight="1" s="239">
      <c r="A17" s="241" t="inlineStr">
        <is>
          <t>External feed price / ton</t>
        </is>
      </c>
      <c r="B17" s="217">
        <f>IFERROR(TRANSFER_PRICING!$G$4,"")</f>
        <v/>
      </c>
      <c r="C17" s="217">
        <f>IFERROR(TRANSFER_PRICING!$G$4,"")</f>
        <v/>
      </c>
      <c r="D17" s="217">
        <f>IFERROR(TRANSFER_PRICING!$G$4,"")</f>
        <v/>
      </c>
      <c r="E17" s="217">
        <f>IFERROR(TRANSFER_PRICING!$G$4,"")</f>
        <v/>
      </c>
      <c r="F17" s="217">
        <f>IFERROR(TRANSFER_PRICING!$G$4,"")</f>
        <v/>
      </c>
      <c r="G17" s="217">
        <f>IFERROR(TRANSFER_PRICING!$G$4,"")</f>
        <v/>
      </c>
      <c r="H17" s="217">
        <f>IFERROR(TRANSFER_PRICING!$G$4,"")</f>
        <v/>
      </c>
      <c r="I17" s="217">
        <f>IFERROR(TRANSFER_PRICING!$G$4,"")</f>
        <v/>
      </c>
      <c r="J17" s="217">
        <f>IFERROR(TRANSFER_PRICING!$G$4,"")</f>
        <v/>
      </c>
      <c r="K17" s="217">
        <f>IFERROR(TRANSFER_PRICING!$G$4,"")</f>
        <v/>
      </c>
    </row>
    <row r="18" ht="16" customHeight="1" s="239">
      <c r="A18" s="241" t="inlineStr">
        <is>
          <t>Internal feed revenue</t>
        </is>
      </c>
      <c r="B18" s="217">
        <f>IFERROR(B14*B16,"")</f>
        <v/>
      </c>
      <c r="C18" s="217">
        <f>IFERROR(C14*C16,"")</f>
        <v/>
      </c>
      <c r="D18" s="217">
        <f>IFERROR(D14*D16,"")</f>
        <v/>
      </c>
      <c r="E18" s="217">
        <f>IFERROR(E14*E16,"")</f>
        <v/>
      </c>
      <c r="F18" s="217">
        <f>IFERROR(F14*F16,"")</f>
        <v/>
      </c>
      <c r="G18" s="217">
        <f>IFERROR(G14*G16,"")</f>
        <v/>
      </c>
      <c r="H18" s="217">
        <f>IFERROR(H14*H16,"")</f>
        <v/>
      </c>
      <c r="I18" s="217">
        <f>IFERROR(I14*I16,"")</f>
        <v/>
      </c>
      <c r="J18" s="217">
        <f>IFERROR(J14*J16,"")</f>
        <v/>
      </c>
      <c r="K18" s="217">
        <f>IFERROR(K14*K16,"")</f>
        <v/>
      </c>
    </row>
    <row r="19" ht="16" customHeight="1" s="239">
      <c r="A19" s="241" t="inlineStr">
        <is>
          <t>External feed revenue</t>
        </is>
      </c>
      <c r="B19" s="217">
        <f>IFERROR(B15*B17,"")</f>
        <v/>
      </c>
      <c r="C19" s="217">
        <f>IFERROR(C15*C17,"")</f>
        <v/>
      </c>
      <c r="D19" s="217">
        <f>IFERROR(D15*D17,"")</f>
        <v/>
      </c>
      <c r="E19" s="217">
        <f>IFERROR(E15*E17,"")</f>
        <v/>
      </c>
      <c r="F19" s="217">
        <f>IFERROR(F15*F17,"")</f>
        <v/>
      </c>
      <c r="G19" s="217">
        <f>IFERROR(G15*G17,"")</f>
        <v/>
      </c>
      <c r="H19" s="217">
        <f>IFERROR(H15*H17,"")</f>
        <v/>
      </c>
      <c r="I19" s="217">
        <f>IFERROR(I15*I17,"")</f>
        <v/>
      </c>
      <c r="J19" s="217">
        <f>IFERROR(J15*J17,"")</f>
        <v/>
      </c>
      <c r="K19" s="217">
        <f>IFERROR(K15*K17,"")</f>
        <v/>
      </c>
    </row>
    <row r="20" ht="16" customHeight="1" s="239">
      <c r="A20" s="151" t="inlineStr">
        <is>
          <t>Total revenue</t>
        </is>
      </c>
      <c r="B20" s="224">
        <f>IFERROR(B18+B19,"")</f>
        <v/>
      </c>
      <c r="C20" s="223">
        <f>IFERROR(C18+C19,"")</f>
        <v/>
      </c>
      <c r="D20" s="224">
        <f>IFERROR(D18+D19,"")</f>
        <v/>
      </c>
      <c r="E20" s="224">
        <f>IFERROR(E18+E19,"")</f>
        <v/>
      </c>
      <c r="F20" s="224">
        <f>IFERROR(F18+F19,"")</f>
        <v/>
      </c>
      <c r="G20" s="224">
        <f>IFERROR(G18+G19,"")</f>
        <v/>
      </c>
      <c r="H20" s="224">
        <f>IFERROR(H18+H19,"")</f>
        <v/>
      </c>
      <c r="I20" s="224">
        <f>IFERROR(I18+I19,"")</f>
        <v/>
      </c>
      <c r="J20" s="224">
        <f>IFERROR(J18+J19,"")</f>
        <v/>
      </c>
      <c r="K20" s="224">
        <f>IFERROR(K18+K19,"")</f>
        <v/>
      </c>
    </row>
    <row r="21" ht="16" customHeight="1" s="239">
      <c r="A21" s="241" t="inlineStr">
        <is>
          <t>Direct production cost</t>
        </is>
      </c>
      <c r="B21" s="217">
        <f>IFERROR(MAX(0,(IFERROR(B10*ASSUMPTIONS!$B$120,""))-B196),"")</f>
        <v/>
      </c>
      <c r="C21" s="217">
        <f>IFERROR(MAX(0,(IFERROR(C10*ASSUMPTIONS!$B$120,""))-C196),"")</f>
        <v/>
      </c>
      <c r="D21" s="217">
        <f>IFERROR(MAX(0,(IFERROR(D10*ASSUMPTIONS!$B$120,""))-D196),"")</f>
        <v/>
      </c>
      <c r="E21" s="217">
        <f>IFERROR(MAX(0,(IFERROR(E10*ASSUMPTIONS!$B$120,""))-E196),"")</f>
        <v/>
      </c>
      <c r="F21" s="217">
        <f>IFERROR(MAX(0,(IFERROR(F10*ASSUMPTIONS!$B$120,""))-F196),"")</f>
        <v/>
      </c>
      <c r="G21" s="217">
        <f>IFERROR(MAX(0,(IFERROR(G10*ASSUMPTIONS!$B$120,""))-G196),"")</f>
        <v/>
      </c>
      <c r="H21" s="217">
        <f>IFERROR(MAX(0,(IFERROR(H10*ASSUMPTIONS!$B$120,""))-H196),"")</f>
        <v/>
      </c>
      <c r="I21" s="217">
        <f>IFERROR(MAX(0,(IFERROR(I10*ASSUMPTIONS!$B$120,""))-I196),"")</f>
        <v/>
      </c>
      <c r="J21" s="217">
        <f>IFERROR(MAX(0,(IFERROR(J10*ASSUMPTIONS!$B$120,""))-J196),"")</f>
        <v/>
      </c>
      <c r="K21" s="217">
        <f>IFERROR(MAX(0,(IFERROR(K10*ASSUMPTIONS!$B$120,""))-K196),"")</f>
        <v/>
      </c>
    </row>
    <row r="22" ht="16" customHeight="1" s="239">
      <c r="A22" s="151" t="inlineStr">
        <is>
          <t>Operating cash flow</t>
        </is>
      </c>
      <c r="B22" s="224">
        <f>IFERROR(B20-B21,"")</f>
        <v/>
      </c>
      <c r="C22" s="223">
        <f>IFERROR(C20-C21,"")</f>
        <v/>
      </c>
      <c r="D22" s="224">
        <f>IFERROR(D20-D21,"")</f>
        <v/>
      </c>
      <c r="E22" s="224">
        <f>IFERROR(E20-E21,"")</f>
        <v/>
      </c>
      <c r="F22" s="224">
        <f>IFERROR(F20-F21,"")</f>
        <v/>
      </c>
      <c r="G22" s="224">
        <f>IFERROR(G20-G21,"")</f>
        <v/>
      </c>
      <c r="H22" s="224">
        <f>IFERROR(H20-H21,"")</f>
        <v/>
      </c>
      <c r="I22" s="224">
        <f>IFERROR(I20-I21,"")</f>
        <v/>
      </c>
      <c r="J22" s="224">
        <f>IFERROR(J20-J21,"")</f>
        <v/>
      </c>
      <c r="K22" s="224">
        <f>IFERROR(K20-K21,"")</f>
        <v/>
      </c>
    </row>
    <row r="23" ht="16" customHeight="1" s="239">
      <c r="A23" s="151" t="inlineStr">
        <is>
          <t>CFADS</t>
        </is>
      </c>
      <c r="B23" s="224">
        <f>IFERROR(B22,"")</f>
        <v/>
      </c>
      <c r="C23" s="223">
        <f>IFERROR(C22,"")</f>
        <v/>
      </c>
      <c r="D23" s="224">
        <f>IFERROR(D22,"")</f>
        <v/>
      </c>
      <c r="E23" s="224">
        <f>IFERROR(E22,"")</f>
        <v/>
      </c>
      <c r="F23" s="224">
        <f>IFERROR(F22,"")</f>
        <v/>
      </c>
      <c r="G23" s="224">
        <f>IFERROR(G22,"")</f>
        <v/>
      </c>
      <c r="H23" s="224">
        <f>IFERROR(H22,"")</f>
        <v/>
      </c>
      <c r="I23" s="224">
        <f>IFERROR(I22,"")</f>
        <v/>
      </c>
      <c r="J23" s="224">
        <f>IFERROR(J22,"")</f>
        <v/>
      </c>
      <c r="K23" s="224">
        <f>IFERROR(K22,"")</f>
        <v/>
      </c>
    </row>
    <row r="24" ht="16" customHeight="1" s="239">
      <c r="A24" s="139" t="inlineStr">
        <is>
          <t>KPI / Balance</t>
        </is>
      </c>
      <c r="B24" s="139" t="inlineStr">
        <is>
          <t>Y1</t>
        </is>
      </c>
      <c r="C24" s="139" t="inlineStr">
        <is>
          <t>Y2</t>
        </is>
      </c>
      <c r="D24" s="139" t="inlineStr">
        <is>
          <t>Y3</t>
        </is>
      </c>
      <c r="E24" s="139" t="inlineStr">
        <is>
          <t>Y4</t>
        </is>
      </c>
      <c r="F24" s="139" t="inlineStr">
        <is>
          <t>Y5</t>
        </is>
      </c>
      <c r="G24" s="139" t="inlineStr">
        <is>
          <t>Y6</t>
        </is>
      </c>
      <c r="H24" s="139" t="inlineStr">
        <is>
          <t>Y7</t>
        </is>
      </c>
      <c r="I24" s="139" t="inlineStr">
        <is>
          <t>Y8</t>
        </is>
      </c>
      <c r="J24" s="139" t="inlineStr">
        <is>
          <t>Y9</t>
        </is>
      </c>
      <c r="K24" s="139" t="inlineStr">
        <is>
          <t>Y10</t>
        </is>
      </c>
    </row>
    <row r="25" ht="16" customHeight="1" s="239">
      <c r="A25" s="151" t="inlineStr">
        <is>
          <t>Feed available tons</t>
        </is>
      </c>
      <c r="B25" s="219">
        <f>IFERROR(B10,"")</f>
        <v/>
      </c>
      <c r="C25" s="219">
        <f>IFERROR(C10,"")</f>
        <v/>
      </c>
      <c r="D25" s="219">
        <f>IFERROR(D10,"")</f>
        <v/>
      </c>
      <c r="E25" s="219">
        <f>IFERROR(E10,"")</f>
        <v/>
      </c>
      <c r="F25" s="219">
        <f>IFERROR(F10,"")</f>
        <v/>
      </c>
      <c r="G25" s="219">
        <f>IFERROR(G10,"")</f>
        <v/>
      </c>
      <c r="H25" s="219">
        <f>IFERROR(H10,"")</f>
        <v/>
      </c>
      <c r="I25" s="219">
        <f>IFERROR(I10,"")</f>
        <v/>
      </c>
      <c r="J25" s="219">
        <f>IFERROR(J10,"")</f>
        <v/>
      </c>
      <c r="K25" s="219">
        <f>IFERROR(K10,"")</f>
        <v/>
      </c>
    </row>
    <row r="26" ht="16" customHeight="1" s="239">
      <c r="A26" s="151" t="inlineStr">
        <is>
          <t>Feed balance tons</t>
        </is>
      </c>
      <c r="B26" s="219">
        <f>IFERROR(B10-B13-B15,"")</f>
        <v/>
      </c>
      <c r="C26" s="219">
        <f>IFERROR(C10-C13-C15,"")</f>
        <v/>
      </c>
      <c r="D26" s="219">
        <f>IFERROR(D10-D13-D15,"")</f>
        <v/>
      </c>
      <c r="E26" s="219">
        <f>IFERROR(E10-E13-E15,"")</f>
        <v/>
      </c>
      <c r="F26" s="219">
        <f>IFERROR(F10-F13-F15,"")</f>
        <v/>
      </c>
      <c r="G26" s="219">
        <f>IFERROR(G10-G13-G15,"")</f>
        <v/>
      </c>
      <c r="H26" s="219">
        <f>IFERROR(H10-H13-H15,"")</f>
        <v/>
      </c>
      <c r="I26" s="219">
        <f>IFERROR(I10-I13-I15,"")</f>
        <v/>
      </c>
      <c r="J26" s="219">
        <f>IFERROR(J10-J13-J15,"")</f>
        <v/>
      </c>
      <c r="K26" s="219">
        <f>IFERROR(K10-K13-K15,"")</f>
        <v/>
      </c>
    </row>
    <row r="27" ht="16" customHeight="1" s="239">
      <c r="A27" s="151" t="inlineStr">
        <is>
          <t>Feed self-sufficiency</t>
        </is>
      </c>
      <c r="B27" s="219">
        <f>IFERROR(IF(B13=0,"",B10/B13),"")</f>
        <v/>
      </c>
      <c r="C27" s="219">
        <f>IFERROR(IF(C13=0,"",C10/C13),"")</f>
        <v/>
      </c>
      <c r="D27" s="219">
        <f>IFERROR(IF(D13=0,"",D10/D13),"")</f>
        <v/>
      </c>
      <c r="E27" s="219">
        <f>IFERROR(IF(E13=0,"",E10/E13),"")</f>
        <v/>
      </c>
      <c r="F27" s="219">
        <f>IFERROR(IF(F13=0,"",F10/F13),"")</f>
        <v/>
      </c>
      <c r="G27" s="219">
        <f>IFERROR(IF(G13=0,"",G10/G13),"")</f>
        <v/>
      </c>
      <c r="H27" s="219">
        <f>IFERROR(IF(H13=0,"",H10/H13),"")</f>
        <v/>
      </c>
      <c r="I27" s="219">
        <f>IFERROR(IF(I13=0,"",I10/I13),"")</f>
        <v/>
      </c>
      <c r="J27" s="219">
        <f>IFERROR(IF(J13=0,"",J10/J13),"")</f>
        <v/>
      </c>
      <c r="K27" s="219">
        <f>IFERROR(IF(K13=0,"",K10/K13),"")</f>
        <v/>
      </c>
    </row>
    <row r="28" ht="16" customHeight="1" s="239">
      <c r="A28" s="241" t="inlineStr">
        <is>
          <t>Labour cost/acre</t>
        </is>
      </c>
      <c r="B28" s="217">
        <f>IFERROR(IF(B4=0,"",B21/B4),"")</f>
        <v/>
      </c>
      <c r="C28" s="217">
        <f>IFERROR(IF(C4=0,"",C21/C4),"")</f>
        <v/>
      </c>
      <c r="D28" s="217">
        <f>IFERROR(IF(D4=0,"",D21/D4),"")</f>
        <v/>
      </c>
      <c r="E28" s="217">
        <f>IFERROR(IF(E4=0,"",E21/E4),"")</f>
        <v/>
      </c>
      <c r="F28" s="217">
        <f>IFERROR(IF(F4=0,"",F21/F4),"")</f>
        <v/>
      </c>
      <c r="G28" s="217">
        <f>IFERROR(IF(G4=0,"",G21/G4),"")</f>
        <v/>
      </c>
      <c r="H28" s="217">
        <f>IFERROR(IF(H4=0,"",H21/H4),"")</f>
        <v/>
      </c>
      <c r="I28" s="217">
        <f>IFERROR(IF(I4=0,"",I21/I4),"")</f>
        <v/>
      </c>
      <c r="J28" s="217">
        <f>IFERROR(IF(J4=0,"",J21/J4),"")</f>
        <v/>
      </c>
      <c r="K28" s="217">
        <f>IFERROR(IF(K4=0,"",K21/K4),"")</f>
        <v/>
      </c>
    </row>
    <row r="29" ht="16" customHeight="1" s="239">
      <c r="A29" s="241" t="inlineStr">
        <is>
          <t>Labour cost/ton feed</t>
        </is>
      </c>
      <c r="B29" s="217">
        <f>IFERROR(IF(B10=0,"",B21/B10),"")</f>
        <v/>
      </c>
      <c r="C29" s="217">
        <f>IFERROR(IF(C10=0,"",C21/C10),"")</f>
        <v/>
      </c>
      <c r="D29" s="217">
        <f>IFERROR(IF(D10=0,"",D21/D10),"")</f>
        <v/>
      </c>
      <c r="E29" s="217">
        <f>IFERROR(IF(E10=0,"",E21/E10),"")</f>
        <v/>
      </c>
      <c r="F29" s="217">
        <f>IFERROR(IF(F10=0,"",F21/F10),"")</f>
        <v/>
      </c>
      <c r="G29" s="217">
        <f>IFERROR(IF(G10=0,"",G21/G10),"")</f>
        <v/>
      </c>
      <c r="H29" s="217">
        <f>IFERROR(IF(H10=0,"",H21/H10),"")</f>
        <v/>
      </c>
      <c r="I29" s="217">
        <f>IFERROR(IF(I10=0,"",I21/I10),"")</f>
        <v/>
      </c>
      <c r="J29" s="217">
        <f>IFERROR(IF(J10=0,"",J21/J10),"")</f>
        <v/>
      </c>
      <c r="K29" s="217">
        <f>IFERROR(IF(K10=0,"",K21/K10),"")</f>
        <v/>
      </c>
    </row>
    <row r="30" ht="16" customHeight="1" s="239">
      <c r="A30" s="241" t="inlineStr">
        <is>
          <t>Labour cost/kg feed</t>
        </is>
      </c>
      <c r="B30" s="217">
        <f>IFERROR(IF(B10=0,"",B21/(B10*1000)),"")</f>
        <v/>
      </c>
      <c r="C30" s="217">
        <f>IFERROR(IF(C10=0,"",C21/(C10*1000)),"")</f>
        <v/>
      </c>
      <c r="D30" s="217">
        <f>IFERROR(IF(D10=0,"",D21/(D10*1000)),"")</f>
        <v/>
      </c>
      <c r="E30" s="217">
        <f>IFERROR(IF(E10=0,"",E21/(E10*1000)),"")</f>
        <v/>
      </c>
      <c r="F30" s="217">
        <f>IFERROR(IF(F10=0,"",F21/(F10*1000)),"")</f>
        <v/>
      </c>
      <c r="G30" s="217">
        <f>IFERROR(IF(G10=0,"",G21/(G10*1000)),"")</f>
        <v/>
      </c>
      <c r="H30" s="217">
        <f>IFERROR(IF(H10=0,"",H21/(H10*1000)),"")</f>
        <v/>
      </c>
      <c r="I30" s="217">
        <f>IFERROR(IF(I10=0,"",I21/(I10*1000)),"")</f>
        <v/>
      </c>
      <c r="J30" s="217">
        <f>IFERROR(IF(J10=0,"",J21/(J10*1000)),"")</f>
        <v/>
      </c>
      <c r="K30" s="217">
        <f>IFERROR(IF(K10=0,"",K21/(K10*1000)),"")</f>
        <v/>
      </c>
    </row>
    <row r="31" ht="16" customHeight="1" s="239">
      <c r="A31" s="151" t="inlineStr">
        <is>
          <t>Feed produced/worker</t>
        </is>
      </c>
      <c r="B31" s="219">
        <f>IFERROR(B10/ASSUMPTIONS!$B$76,"")</f>
        <v/>
      </c>
      <c r="C31" s="219">
        <f>IFERROR(C10/ASSUMPTIONS!$B$76,"")</f>
        <v/>
      </c>
      <c r="D31" s="219">
        <f>IFERROR(D10/ASSUMPTIONS!$B$76,"")</f>
        <v/>
      </c>
      <c r="E31" s="219">
        <f>IFERROR(E10/ASSUMPTIONS!$B$76,"")</f>
        <v/>
      </c>
      <c r="F31" s="219">
        <f>IFERROR(F10/ASSUMPTIONS!$B$76,"")</f>
        <v/>
      </c>
      <c r="G31" s="219">
        <f>IFERROR(G10/ASSUMPTIONS!$B$76,"")</f>
        <v/>
      </c>
      <c r="H31" s="219">
        <f>IFERROR(H10/ASSUMPTIONS!$B$76,"")</f>
        <v/>
      </c>
      <c r="I31" s="219">
        <f>IFERROR(I10/ASSUMPTIONS!$B$76,"")</f>
        <v/>
      </c>
      <c r="J31" s="219">
        <f>IFERROR(J10/ASSUMPTIONS!$B$76,"")</f>
        <v/>
      </c>
      <c r="K31" s="219">
        <f>IFERROR(K10/ASSUMPTIONS!$B$76,"")</f>
        <v/>
      </c>
    </row>
    <row r="32">
      <c r="A32" s="241" t="n"/>
      <c r="B32" s="241" t="n"/>
      <c r="C32" s="241" t="n"/>
      <c r="D32" s="241" t="n"/>
      <c r="E32" s="241" t="n"/>
      <c r="F32" s="241" t="n"/>
      <c r="G32" s="241" t="n"/>
      <c r="H32" s="241" t="n"/>
      <c r="I32" s="241" t="n"/>
      <c r="J32" s="241" t="n"/>
      <c r="K32" s="241" t="n"/>
    </row>
    <row r="33">
      <c r="A33" s="241" t="n"/>
      <c r="B33" s="241" t="n"/>
      <c r="C33" s="241" t="n"/>
      <c r="D33" s="241" t="n"/>
      <c r="E33" s="241" t="n"/>
      <c r="F33" s="241" t="n"/>
      <c r="G33" s="241" t="n"/>
      <c r="H33" s="241" t="n"/>
      <c r="I33" s="241" t="n"/>
      <c r="J33" s="241" t="n"/>
      <c r="K33" s="241" t="n"/>
    </row>
    <row r="34">
      <c r="A34" s="241" t="n"/>
      <c r="B34" s="241" t="n"/>
      <c r="C34" s="241" t="n"/>
      <c r="D34" s="241" t="n"/>
      <c r="E34" s="241" t="n"/>
      <c r="F34" s="241" t="n"/>
      <c r="G34" s="241" t="n"/>
      <c r="H34" s="241" t="n"/>
      <c r="I34" s="241" t="n"/>
      <c r="J34" s="241" t="n"/>
      <c r="K34" s="241" t="n"/>
    </row>
    <row r="35">
      <c r="A35" s="241" t="n"/>
      <c r="B35" s="241" t="n"/>
      <c r="C35" s="241" t="n"/>
      <c r="D35" s="241" t="n"/>
      <c r="E35" s="241" t="n"/>
      <c r="F35" s="241" t="n"/>
      <c r="G35" s="241" t="n"/>
      <c r="H35" s="241" t="n"/>
      <c r="I35" s="241" t="n"/>
      <c r="J35" s="241" t="n"/>
      <c r="K35" s="241" t="n"/>
    </row>
    <row r="36">
      <c r="A36" s="241" t="n"/>
      <c r="B36" s="241" t="n"/>
      <c r="C36" s="241" t="n"/>
      <c r="D36" s="241" t="n"/>
      <c r="E36" s="241" t="n"/>
      <c r="F36" s="241" t="n"/>
      <c r="G36" s="241" t="n"/>
      <c r="H36" s="241" t="n"/>
      <c r="I36" s="241" t="n"/>
      <c r="J36" s="241" t="n"/>
      <c r="K36" s="241" t="n"/>
    </row>
    <row r="37">
      <c r="A37" s="241" t="n"/>
      <c r="B37" s="241" t="n"/>
      <c r="C37" s="241" t="n"/>
      <c r="D37" s="241" t="n"/>
      <c r="E37" s="241" t="n"/>
      <c r="F37" s="241" t="n"/>
      <c r="G37" s="241" t="n"/>
      <c r="H37" s="241" t="n"/>
      <c r="I37" s="241" t="n"/>
      <c r="J37" s="241" t="n"/>
      <c r="K37" s="241" t="n"/>
    </row>
    <row r="38">
      <c r="A38" s="241" t="n"/>
      <c r="B38" s="241" t="n"/>
      <c r="C38" s="241" t="n"/>
      <c r="D38" s="241" t="n"/>
      <c r="E38" s="241" t="n"/>
      <c r="F38" s="241" t="n"/>
      <c r="G38" s="241" t="n"/>
      <c r="H38" s="241" t="n"/>
      <c r="I38" s="241" t="n"/>
      <c r="J38" s="241" t="n"/>
      <c r="K38" s="241" t="n"/>
    </row>
    <row r="39">
      <c r="A39" s="241" t="n"/>
      <c r="B39" s="241" t="n"/>
      <c r="C39" s="241" t="n"/>
      <c r="D39" s="241" t="n"/>
      <c r="E39" s="241" t="n"/>
      <c r="F39" s="241" t="n"/>
      <c r="G39" s="241" t="n"/>
      <c r="H39" s="241" t="n"/>
      <c r="I39" s="241" t="n"/>
      <c r="J39" s="241" t="n"/>
      <c r="K39" s="241" t="n"/>
    </row>
    <row r="40">
      <c r="A40" s="241" t="n"/>
      <c r="B40" s="241" t="n"/>
      <c r="C40" s="241" t="n"/>
      <c r="D40" s="241" t="n"/>
      <c r="E40" s="241" t="n"/>
      <c r="F40" s="241" t="n"/>
      <c r="G40" s="241" t="n"/>
      <c r="H40" s="241" t="n"/>
      <c r="I40" s="241" t="n"/>
      <c r="J40" s="241" t="n"/>
      <c r="K40" s="241" t="n"/>
    </row>
    <row r="41" ht="21" customHeight="1" s="239">
      <c r="A41" s="159" t="inlineStr">
        <is>
          <t>Land Allocation By Year</t>
        </is>
      </c>
      <c r="B41" s="241" t="n"/>
      <c r="C41" s="241" t="n"/>
      <c r="D41" s="241" t="n"/>
      <c r="E41" s="241" t="n"/>
      <c r="F41" s="241" t="n"/>
      <c r="G41" s="241" t="n"/>
      <c r="H41" s="241" t="n"/>
      <c r="I41" s="241" t="n"/>
      <c r="J41" s="241" t="n"/>
      <c r="K41" s="241" t="n"/>
    </row>
    <row r="42" ht="16" customHeight="1" s="239">
      <c r="A42" s="160" t="inlineStr">
        <is>
          <t>Item</t>
        </is>
      </c>
      <c r="B42" s="160" t="inlineStr">
        <is>
          <t>Y1</t>
        </is>
      </c>
      <c r="C42" s="241" t="inlineStr">
        <is>
          <t>Y2</t>
        </is>
      </c>
      <c r="D42" s="241" t="inlineStr">
        <is>
          <t>Y3</t>
        </is>
      </c>
      <c r="E42" s="241" t="inlineStr">
        <is>
          <t>Y4</t>
        </is>
      </c>
      <c r="F42" s="241" t="inlineStr">
        <is>
          <t>Y5</t>
        </is>
      </c>
      <c r="G42" s="241" t="inlineStr">
        <is>
          <t>Y6</t>
        </is>
      </c>
      <c r="H42" s="241" t="inlineStr">
        <is>
          <t>Y7</t>
        </is>
      </c>
      <c r="I42" s="241" t="inlineStr">
        <is>
          <t>Y8</t>
        </is>
      </c>
      <c r="J42" s="241" t="inlineStr">
        <is>
          <t>Y9</t>
        </is>
      </c>
      <c r="K42" s="241" t="inlineStr">
        <is>
          <t>Y10</t>
        </is>
      </c>
    </row>
    <row r="43" ht="16" customHeight="1" s="239">
      <c r="A43" s="220" t="inlineStr">
        <is>
          <t>Total Land</t>
        </is>
      </c>
      <c r="B43" s="225" t="n">
        <v>120</v>
      </c>
      <c r="C43" s="226" t="n">
        <v>120</v>
      </c>
      <c r="D43" s="226" t="n">
        <v>120</v>
      </c>
      <c r="E43" s="226" t="n">
        <v>120</v>
      </c>
      <c r="F43" s="226" t="n">
        <v>120</v>
      </c>
      <c r="G43" s="226" t="n">
        <v>120</v>
      </c>
      <c r="H43" s="226" t="n">
        <v>120</v>
      </c>
      <c r="I43" s="226" t="n">
        <v>120</v>
      </c>
      <c r="J43" s="226" t="n">
        <v>120</v>
      </c>
      <c r="K43" s="226" t="n">
        <v>120</v>
      </c>
    </row>
    <row r="44" ht="16" customHeight="1" s="239">
      <c r="A44" s="220" t="inlineStr">
        <is>
          <t>Cultivated Land</t>
        </is>
      </c>
      <c r="B44" s="225">
        <f>IFERROR(B4,"")</f>
        <v/>
      </c>
      <c r="C44" s="226">
        <f>IFERROR(C4,"")</f>
        <v/>
      </c>
      <c r="D44" s="226">
        <f>IFERROR(D4,"")</f>
        <v/>
      </c>
      <c r="E44" s="226">
        <f>IFERROR(E4,"")</f>
        <v/>
      </c>
      <c r="F44" s="226">
        <f>IFERROR(F4,"")</f>
        <v/>
      </c>
      <c r="G44" s="226">
        <f>IFERROR(G4,"")</f>
        <v/>
      </c>
      <c r="H44" s="226">
        <f>IFERROR(H4,"")</f>
        <v/>
      </c>
      <c r="I44" s="226">
        <f>IFERROR(I4,"")</f>
        <v/>
      </c>
      <c r="J44" s="226">
        <f>IFERROR(J4,"")</f>
        <v/>
      </c>
      <c r="K44" s="226">
        <f>IFERROR(K4,"")</f>
        <v/>
      </c>
    </row>
    <row r="45" ht="16" customHeight="1" s="239">
      <c r="A45" s="220" t="inlineStr">
        <is>
          <t>Reserve Land</t>
        </is>
      </c>
      <c r="B45" s="225">
        <f>IFERROR(B43-B44,"")</f>
        <v/>
      </c>
      <c r="C45" s="226">
        <f>IFERROR(C43-C44,"")</f>
        <v/>
      </c>
      <c r="D45" s="226">
        <f>IFERROR(D43-D44,"")</f>
        <v/>
      </c>
      <c r="E45" s="226">
        <f>IFERROR(E43-E44,"")</f>
        <v/>
      </c>
      <c r="F45" s="226">
        <f>IFERROR(F43-F44,"")</f>
        <v/>
      </c>
      <c r="G45" s="226">
        <f>IFERROR(G43-G44,"")</f>
        <v/>
      </c>
      <c r="H45" s="226">
        <f>IFERROR(H43-H44,"")</f>
        <v/>
      </c>
      <c r="I45" s="226">
        <f>IFERROR(I43-I44,"")</f>
        <v/>
      </c>
      <c r="J45" s="226">
        <f>IFERROR(J43-J44,"")</f>
        <v/>
      </c>
      <c r="K45" s="226">
        <f>IFERROR(K43-K44,"")</f>
        <v/>
      </c>
    </row>
    <row r="46" ht="16" customHeight="1" s="239">
      <c r="A46" s="220" t="inlineStr">
        <is>
          <t>Irrigated Land</t>
        </is>
      </c>
      <c r="B46" s="225">
        <f>IFERROR(B44,"")</f>
        <v/>
      </c>
      <c r="C46" s="226">
        <f>IFERROR(C44,"")</f>
        <v/>
      </c>
      <c r="D46" s="226">
        <f>IFERROR(D44,"")</f>
        <v/>
      </c>
      <c r="E46" s="226">
        <f>IFERROR(E44,"")</f>
        <v/>
      </c>
      <c r="F46" s="226">
        <f>IFERROR(F44,"")</f>
        <v/>
      </c>
      <c r="G46" s="226">
        <f>IFERROR(G44,"")</f>
        <v/>
      </c>
      <c r="H46" s="226">
        <f>IFERROR(H44,"")</f>
        <v/>
      </c>
      <c r="I46" s="226">
        <f>IFERROR(I44,"")</f>
        <v/>
      </c>
      <c r="J46" s="226">
        <f>IFERROR(J44,"")</f>
        <v/>
      </c>
      <c r="K46" s="226">
        <f>IFERROR(K44,"")</f>
        <v/>
      </c>
    </row>
    <row r="47">
      <c r="A47" s="241" t="n"/>
      <c r="B47" s="241" t="n"/>
      <c r="C47" s="241" t="n"/>
      <c r="D47" s="241" t="n"/>
      <c r="E47" s="241" t="n"/>
      <c r="F47" s="241" t="n"/>
      <c r="G47" s="241" t="n"/>
      <c r="H47" s="241" t="n"/>
      <c r="I47" s="241" t="n"/>
      <c r="J47" s="241" t="n"/>
      <c r="K47" s="241" t="n"/>
    </row>
    <row r="48">
      <c r="A48" s="241" t="n"/>
      <c r="B48" s="241" t="n"/>
      <c r="C48" s="241" t="n"/>
      <c r="D48" s="241" t="n"/>
      <c r="E48" s="241" t="n"/>
      <c r="F48" s="241" t="n"/>
      <c r="G48" s="241" t="n"/>
      <c r="H48" s="241" t="n"/>
      <c r="I48" s="241" t="n"/>
      <c r="J48" s="241" t="n"/>
      <c r="K48" s="241" t="n"/>
    </row>
    <row r="49" ht="16" customHeight="1" s="239">
      <c r="A49" s="160" t="inlineStr">
        <is>
          <t>Crop Acre Allocation By Year</t>
        </is>
      </c>
      <c r="B49" s="160" t="inlineStr">
        <is>
          <t>Y1</t>
        </is>
      </c>
      <c r="C49" s="241" t="inlineStr">
        <is>
          <t>Y2</t>
        </is>
      </c>
      <c r="D49" s="241" t="inlineStr">
        <is>
          <t>Y3</t>
        </is>
      </c>
      <c r="E49" s="241" t="inlineStr">
        <is>
          <t>Y4</t>
        </is>
      </c>
      <c r="F49" s="241" t="inlineStr">
        <is>
          <t>Y5</t>
        </is>
      </c>
      <c r="G49" s="241" t="inlineStr">
        <is>
          <t>Y6</t>
        </is>
      </c>
      <c r="H49" s="241" t="inlineStr">
        <is>
          <t>Y7</t>
        </is>
      </c>
      <c r="I49" s="241" t="inlineStr">
        <is>
          <t>Y8</t>
        </is>
      </c>
      <c r="J49" s="241" t="inlineStr">
        <is>
          <t>Y9</t>
        </is>
      </c>
      <c r="K49" s="241" t="inlineStr">
        <is>
          <t>Y10</t>
        </is>
      </c>
    </row>
    <row r="50" ht="16" customHeight="1" s="239">
      <c r="A50" s="155" t="inlineStr">
        <is>
          <t>King Grass</t>
        </is>
      </c>
      <c r="B50" s="215">
        <f>IFERROR(B$44*0.375,"")</f>
        <v/>
      </c>
      <c r="C50" s="215">
        <f>IFERROR(C$44*0.375,"")</f>
        <v/>
      </c>
      <c r="D50" s="215">
        <f>IFERROR(D$44*0.375,"")</f>
        <v/>
      </c>
      <c r="E50" s="215">
        <f>IFERROR(E$44*0.375,"")</f>
        <v/>
      </c>
      <c r="F50" s="215">
        <f>IFERROR(F$44*0.375,"")</f>
        <v/>
      </c>
      <c r="G50" s="215">
        <f>IFERROR(G$44*0.375,"")</f>
        <v/>
      </c>
      <c r="H50" s="215">
        <f>IFERROR(H$44*0.375,"")</f>
        <v/>
      </c>
      <c r="I50" s="215">
        <f>IFERROR(I$44*0.375,"")</f>
        <v/>
      </c>
      <c r="J50" s="215">
        <f>IFERROR(J$44*0.375,"")</f>
        <v/>
      </c>
      <c r="K50" s="215">
        <f>IFERROR(K$44*0.375,"")</f>
        <v/>
      </c>
    </row>
    <row r="51" ht="16" customHeight="1" s="239">
      <c r="A51" s="155" t="inlineStr">
        <is>
          <t>Corn Silage</t>
        </is>
      </c>
      <c r="B51" s="215">
        <f>IFERROR(B$44*0.25,"")</f>
        <v/>
      </c>
      <c r="C51" s="215">
        <f>IFERROR(C$44*0.25,"")</f>
        <v/>
      </c>
      <c r="D51" s="215">
        <f>IFERROR(D$44*0.25,"")</f>
        <v/>
      </c>
      <c r="E51" s="215">
        <f>IFERROR(E$44*0.25,"")</f>
        <v/>
      </c>
      <c r="F51" s="215">
        <f>IFERROR(F$44*0.25,"")</f>
        <v/>
      </c>
      <c r="G51" s="215">
        <f>IFERROR(G$44*0.25,"")</f>
        <v/>
      </c>
      <c r="H51" s="215">
        <f>IFERROR(H$44*0.25,"")</f>
        <v/>
      </c>
      <c r="I51" s="215">
        <f>IFERROR(I$44*0.25,"")</f>
        <v/>
      </c>
      <c r="J51" s="215">
        <f>IFERROR(J$44*0.25,"")</f>
        <v/>
      </c>
      <c r="K51" s="215">
        <f>IFERROR(K$44*0.25,"")</f>
        <v/>
      </c>
    </row>
    <row r="52" ht="16" customHeight="1" s="239">
      <c r="A52" s="155" t="inlineStr">
        <is>
          <t>Alfalfa</t>
        </is>
      </c>
      <c r="B52" s="215">
        <f>IFERROR(B$44*0.125,"")</f>
        <v/>
      </c>
      <c r="C52" s="215">
        <f>IFERROR(C$44*0.125,"")</f>
        <v/>
      </c>
      <c r="D52" s="215">
        <f>IFERROR(D$44*0.125,"")</f>
        <v/>
      </c>
      <c r="E52" s="215">
        <f>IFERROR(E$44*0.125,"")</f>
        <v/>
      </c>
      <c r="F52" s="215">
        <f>IFERROR(F$44*0.125,"")</f>
        <v/>
      </c>
      <c r="G52" s="215">
        <f>IFERROR(G$44*0.125,"")</f>
        <v/>
      </c>
      <c r="H52" s="215">
        <f>IFERROR(H$44*0.125,"")</f>
        <v/>
      </c>
      <c r="I52" s="215">
        <f>IFERROR(I$44*0.125,"")</f>
        <v/>
      </c>
      <c r="J52" s="215">
        <f>IFERROR(J$44*0.125,"")</f>
        <v/>
      </c>
      <c r="K52" s="215">
        <f>IFERROR(K$44*0.125,"")</f>
        <v/>
      </c>
    </row>
    <row r="53" ht="16" customHeight="1" s="239">
      <c r="A53" s="155" t="inlineStr">
        <is>
          <t>Soybean</t>
        </is>
      </c>
      <c r="B53" s="215">
        <f>IFERROR(B$44*0.125,"")</f>
        <v/>
      </c>
      <c r="C53" s="215">
        <f>IFERROR(C$44*0.125,"")</f>
        <v/>
      </c>
      <c r="D53" s="215">
        <f>IFERROR(D$44*0.125,"")</f>
        <v/>
      </c>
      <c r="E53" s="215">
        <f>IFERROR(E$44*0.125,"")</f>
        <v/>
      </c>
      <c r="F53" s="215">
        <f>IFERROR(F$44*0.125,"")</f>
        <v/>
      </c>
      <c r="G53" s="215">
        <f>IFERROR(G$44*0.125,"")</f>
        <v/>
      </c>
      <c r="H53" s="215">
        <f>IFERROR(H$44*0.125,"")</f>
        <v/>
      </c>
      <c r="I53" s="215">
        <f>IFERROR(I$44*0.125,"")</f>
        <v/>
      </c>
      <c r="J53" s="215">
        <f>IFERROR(J$44*0.125,"")</f>
        <v/>
      </c>
      <c r="K53" s="215">
        <f>IFERROR(K$44*0.125,"")</f>
        <v/>
      </c>
    </row>
    <row r="54" ht="16" customHeight="1" s="239">
      <c r="A54" s="155" t="inlineStr">
        <is>
          <t>Sesame</t>
        </is>
      </c>
      <c r="B54" s="215">
        <f>IFERROR(B$44*0.125,"")</f>
        <v/>
      </c>
      <c r="C54" s="215">
        <f>IFERROR(C$44*0.125,"")</f>
        <v/>
      </c>
      <c r="D54" s="215">
        <f>IFERROR(D$44*0.125,"")</f>
        <v/>
      </c>
      <c r="E54" s="215">
        <f>IFERROR(E$44*0.125,"")</f>
        <v/>
      </c>
      <c r="F54" s="215">
        <f>IFERROR(F$44*0.125,"")</f>
        <v/>
      </c>
      <c r="G54" s="215">
        <f>IFERROR(G$44*0.125,"")</f>
        <v/>
      </c>
      <c r="H54" s="215">
        <f>IFERROR(H$44*0.125,"")</f>
        <v/>
      </c>
      <c r="I54" s="215">
        <f>IFERROR(I$44*0.125,"")</f>
        <v/>
      </c>
      <c r="J54" s="215">
        <f>IFERROR(J$44*0.125,"")</f>
        <v/>
      </c>
      <c r="K54" s="215">
        <f>IFERROR(K$44*0.125,"")</f>
        <v/>
      </c>
    </row>
    <row r="55" ht="16" customHeight="1" s="239">
      <c r="A55" s="241" t="inlineStr">
        <is>
          <t>Total crop acres</t>
        </is>
      </c>
      <c r="B55" s="241">
        <f>IFERROR(SUM(B50:B54),"")</f>
        <v/>
      </c>
      <c r="C55" s="241">
        <f>IFERROR(SUM(C50:C54),"")</f>
        <v/>
      </c>
      <c r="D55" s="241">
        <f>IFERROR(SUM(D50:D54),"")</f>
        <v/>
      </c>
      <c r="E55" s="241">
        <f>IFERROR(SUM(E50:E54),"")</f>
        <v/>
      </c>
      <c r="F55" s="241">
        <f>IFERROR(SUM(F50:F54),"")</f>
        <v/>
      </c>
      <c r="G55" s="241">
        <f>IFERROR(SUM(G50:G54),"")</f>
        <v/>
      </c>
      <c r="H55" s="241">
        <f>IFERROR(SUM(H50:H54),"")</f>
        <v/>
      </c>
      <c r="I55" s="241">
        <f>IFERROR(SUM(I50:I54),"")</f>
        <v/>
      </c>
      <c r="J55" s="241">
        <f>IFERROR(SUM(J50:J54),"")</f>
        <v/>
      </c>
      <c r="K55" s="241">
        <f>IFERROR(SUM(K50:K54),"")</f>
        <v/>
      </c>
    </row>
    <row r="56" ht="16" customHeight="1" s="239">
      <c r="A56" s="241" t="inlineStr">
        <is>
          <t>Reserve acres unallocated</t>
        </is>
      </c>
      <c r="B56" s="241">
        <f>IFERROR(B43-B55,"")</f>
        <v/>
      </c>
      <c r="C56" s="241">
        <f>IFERROR(C43-C55,"")</f>
        <v/>
      </c>
      <c r="D56" s="241">
        <f>IFERROR(D43-D55,"")</f>
        <v/>
      </c>
      <c r="E56" s="241">
        <f>IFERROR(E43-E55,"")</f>
        <v/>
      </c>
      <c r="F56" s="241">
        <f>IFERROR(F43-F55,"")</f>
        <v/>
      </c>
      <c r="G56" s="241">
        <f>IFERROR(G43-G55,"")</f>
        <v/>
      </c>
      <c r="H56" s="241">
        <f>IFERROR(H43-H55,"")</f>
        <v/>
      </c>
      <c r="I56" s="241">
        <f>IFERROR(I43-I55,"")</f>
        <v/>
      </c>
      <c r="J56" s="241">
        <f>IFERROR(J43-J55,"")</f>
        <v/>
      </c>
      <c r="K56" s="241">
        <f>IFERROR(K43-K55,"")</f>
        <v/>
      </c>
    </row>
    <row r="57" ht="33" customHeight="1" s="239">
      <c r="A57" s="161" t="inlineStr">
        <is>
          <t>Crop Production Assumptions</t>
        </is>
      </c>
      <c r="B57" s="241" t="n"/>
      <c r="C57" s="241" t="n"/>
      <c r="D57" s="241" t="n"/>
      <c r="E57" s="241" t="n"/>
      <c r="F57" s="241" t="n"/>
      <c r="G57" s="241" t="n"/>
      <c r="H57" s="241" t="n"/>
      <c r="I57" s="241" t="n"/>
      <c r="J57" s="241" t="n"/>
      <c r="K57" s="241" t="n"/>
    </row>
    <row r="58">
      <c r="A58" s="241" t="n"/>
      <c r="B58" s="241" t="n"/>
      <c r="C58" s="241" t="n"/>
      <c r="D58" s="241" t="n"/>
      <c r="E58" s="241" t="n"/>
      <c r="F58" s="241" t="n"/>
      <c r="G58" s="241" t="n"/>
      <c r="H58" s="241" t="n"/>
      <c r="I58" s="241" t="n"/>
      <c r="J58" s="241" t="n"/>
      <c r="K58" s="241" t="n"/>
    </row>
    <row r="59" ht="21" customHeight="1" s="239">
      <c r="A59" s="162" t="inlineStr">
        <is>
          <t>King Grass</t>
        </is>
      </c>
      <c r="B59" s="241" t="n"/>
      <c r="C59" s="241" t="n"/>
      <c r="D59" s="241" t="n"/>
      <c r="E59" s="241" t="n"/>
      <c r="F59" s="241" t="n"/>
      <c r="G59" s="241" t="n"/>
      <c r="H59" s="241" t="n"/>
      <c r="I59" s="241" t="n"/>
      <c r="J59" s="241" t="n"/>
      <c r="K59" s="241" t="n"/>
    </row>
    <row r="60">
      <c r="A60" s="241" t="n"/>
      <c r="B60" s="241" t="n"/>
      <c r="C60" s="241" t="n"/>
      <c r="D60" s="241" t="n"/>
      <c r="E60" s="241" t="n"/>
      <c r="F60" s="241" t="n"/>
      <c r="G60" s="241" t="n"/>
      <c r="H60" s="241" t="n"/>
      <c r="I60" s="241" t="n"/>
      <c r="J60" s="241" t="n"/>
      <c r="K60" s="241" t="n"/>
    </row>
    <row r="61" ht="21" customHeight="1" s="239">
      <c r="A61" s="159" t="inlineStr">
        <is>
          <t>harvests/year</t>
        </is>
      </c>
      <c r="B61" s="227" t="n">
        <v>5</v>
      </c>
      <c r="C61" s="198" t="n"/>
      <c r="D61" s="198" t="n"/>
      <c r="E61" s="198" t="n"/>
      <c r="F61" s="198" t="n"/>
      <c r="G61" s="198" t="n"/>
      <c r="H61" s="198" t="n"/>
      <c r="I61" s="198" t="n"/>
      <c r="J61" s="198" t="n"/>
      <c r="K61" s="198" t="n"/>
    </row>
    <row r="62" ht="21" customHeight="1" s="239">
      <c r="A62" s="159" t="inlineStr">
        <is>
          <t>tons/acre/harvest</t>
        </is>
      </c>
      <c r="B62" s="227" t="n">
        <v>20</v>
      </c>
      <c r="C62" s="198" t="n"/>
      <c r="D62" s="198" t="n"/>
      <c r="E62" s="198" t="n"/>
      <c r="F62" s="198" t="n"/>
      <c r="G62" s="198" t="n"/>
      <c r="H62" s="198" t="n"/>
      <c r="I62" s="198" t="n"/>
      <c r="J62" s="198" t="n"/>
      <c r="K62" s="198" t="n"/>
    </row>
    <row r="63" ht="21" customHeight="1" s="239">
      <c r="A63" s="159" t="inlineStr">
        <is>
          <t>tons/acre/year</t>
        </is>
      </c>
      <c r="B63" s="228">
        <f>IFERROR(B61*B62,"")</f>
        <v/>
      </c>
      <c r="C63" s="241" t="n"/>
      <c r="D63" s="241" t="n"/>
      <c r="E63" s="241" t="n"/>
      <c r="F63" s="241" t="n"/>
      <c r="G63" s="241" t="n"/>
      <c r="H63" s="241" t="n"/>
      <c r="I63" s="241" t="n"/>
      <c r="J63" s="241" t="n"/>
      <c r="K63" s="241" t="n"/>
    </row>
    <row r="64">
      <c r="A64" s="241" t="n"/>
      <c r="B64" s="241" t="n"/>
      <c r="C64" s="241" t="n"/>
      <c r="D64" s="241" t="n"/>
      <c r="E64" s="241" t="n"/>
      <c r="F64" s="241" t="n"/>
      <c r="G64" s="241" t="n"/>
      <c r="H64" s="241" t="n"/>
      <c r="I64" s="241" t="n"/>
      <c r="J64" s="241" t="n"/>
      <c r="K64" s="241" t="n"/>
    </row>
    <row r="65" ht="21" customHeight="1" s="239">
      <c r="A65" s="162" t="inlineStr">
        <is>
          <t>Corn Silage</t>
        </is>
      </c>
      <c r="B65" s="241" t="n"/>
      <c r="C65" s="241" t="n"/>
      <c r="D65" s="241" t="n"/>
      <c r="E65" s="241" t="n"/>
      <c r="F65" s="241" t="n"/>
      <c r="G65" s="241" t="n"/>
      <c r="H65" s="241" t="n"/>
      <c r="I65" s="241" t="n"/>
      <c r="J65" s="241" t="n"/>
      <c r="K65" s="241" t="n"/>
    </row>
    <row r="66">
      <c r="A66" s="241" t="n"/>
      <c r="B66" s="241" t="n"/>
      <c r="C66" s="241" t="n"/>
      <c r="D66" s="241" t="n"/>
      <c r="E66" s="241" t="n"/>
      <c r="F66" s="241" t="n"/>
      <c r="G66" s="241" t="n"/>
      <c r="H66" s="241" t="n"/>
      <c r="I66" s="241" t="n"/>
      <c r="J66" s="241" t="n"/>
      <c r="K66" s="241" t="n"/>
    </row>
    <row r="67" ht="21" customHeight="1" s="239">
      <c r="A67" s="159" t="inlineStr">
        <is>
          <t>crops/year</t>
        </is>
      </c>
      <c r="B67" s="227" t="n">
        <v>2</v>
      </c>
      <c r="C67" s="198" t="n"/>
      <c r="D67" s="198" t="n"/>
      <c r="E67" s="198" t="n"/>
      <c r="F67" s="198" t="n"/>
      <c r="G67" s="198" t="n"/>
      <c r="H67" s="198" t="n"/>
      <c r="I67" s="198" t="n"/>
      <c r="J67" s="198" t="n"/>
      <c r="K67" s="198" t="n"/>
    </row>
    <row r="68" ht="21" customHeight="1" s="239">
      <c r="A68" s="159" t="inlineStr">
        <is>
          <t>tons/acre/crop</t>
        </is>
      </c>
      <c r="B68" s="227" t="n">
        <v>18</v>
      </c>
      <c r="C68" s="198" t="n"/>
      <c r="D68" s="198" t="n"/>
      <c r="E68" s="198" t="n"/>
      <c r="F68" s="198" t="n"/>
      <c r="G68" s="198" t="n"/>
      <c r="H68" s="198" t="n"/>
      <c r="I68" s="198" t="n"/>
      <c r="J68" s="198" t="n"/>
      <c r="K68" s="198" t="n"/>
    </row>
    <row r="69" ht="21" customHeight="1" s="239">
      <c r="A69" s="159" t="inlineStr">
        <is>
          <t>tons/acre/year</t>
        </is>
      </c>
      <c r="B69" s="228">
        <f>IFERROR(B67*B68,"")</f>
        <v/>
      </c>
      <c r="C69" s="241" t="n"/>
      <c r="D69" s="241" t="n"/>
      <c r="E69" s="241" t="n"/>
      <c r="F69" s="241" t="n"/>
      <c r="G69" s="241" t="n"/>
      <c r="H69" s="241" t="n"/>
      <c r="I69" s="241" t="n"/>
      <c r="J69" s="241" t="n"/>
      <c r="K69" s="241" t="n"/>
    </row>
    <row r="70">
      <c r="A70" s="241" t="n"/>
      <c r="B70" s="241" t="n"/>
      <c r="C70" s="241" t="n"/>
      <c r="D70" s="241" t="n"/>
      <c r="E70" s="241" t="n"/>
      <c r="F70" s="241" t="n"/>
      <c r="G70" s="241" t="n"/>
      <c r="H70" s="241" t="n"/>
      <c r="I70" s="241" t="n"/>
      <c r="J70" s="241" t="n"/>
      <c r="K70" s="241" t="n"/>
    </row>
    <row r="71" ht="21" customHeight="1" s="239">
      <c r="A71" s="162" t="inlineStr">
        <is>
          <t>Alfalfa</t>
        </is>
      </c>
      <c r="B71" s="241" t="n"/>
      <c r="C71" s="241" t="n"/>
      <c r="D71" s="241" t="n"/>
      <c r="E71" s="241" t="n"/>
      <c r="F71" s="241" t="n"/>
      <c r="G71" s="241" t="n"/>
      <c r="H71" s="241" t="n"/>
      <c r="I71" s="241" t="n"/>
      <c r="J71" s="241" t="n"/>
      <c r="K71" s="241" t="n"/>
    </row>
    <row r="72">
      <c r="A72" s="241" t="n"/>
      <c r="B72" s="241" t="n"/>
      <c r="C72" s="241" t="n"/>
      <c r="D72" s="241" t="n"/>
      <c r="E72" s="241" t="n"/>
      <c r="F72" s="241" t="n"/>
      <c r="G72" s="241" t="n"/>
      <c r="H72" s="241" t="n"/>
      <c r="I72" s="241" t="n"/>
      <c r="J72" s="241" t="n"/>
      <c r="K72" s="241" t="n"/>
    </row>
    <row r="73" ht="21" customHeight="1" s="239">
      <c r="A73" s="159" t="inlineStr">
        <is>
          <t>harvests/year</t>
        </is>
      </c>
      <c r="B73" s="227" t="n">
        <v>6</v>
      </c>
      <c r="C73" s="198" t="n"/>
      <c r="D73" s="198" t="n"/>
      <c r="E73" s="198" t="n"/>
      <c r="F73" s="198" t="n"/>
      <c r="G73" s="198" t="n"/>
      <c r="H73" s="198" t="n"/>
      <c r="I73" s="198" t="n"/>
      <c r="J73" s="198" t="n"/>
      <c r="K73" s="198" t="n"/>
    </row>
    <row r="74" ht="21" customHeight="1" s="239">
      <c r="A74" s="159" t="inlineStr">
        <is>
          <t>tons/acre/harvest</t>
        </is>
      </c>
      <c r="B74" s="227" t="n">
        <v>1.5</v>
      </c>
      <c r="C74" s="198" t="n"/>
      <c r="D74" s="198" t="n"/>
      <c r="E74" s="198" t="n"/>
      <c r="F74" s="198" t="n"/>
      <c r="G74" s="198" t="n"/>
      <c r="H74" s="198" t="n"/>
      <c r="I74" s="198" t="n"/>
      <c r="J74" s="198" t="n"/>
      <c r="K74" s="198" t="n"/>
    </row>
    <row r="75" ht="21" customHeight="1" s="239">
      <c r="A75" s="159" t="inlineStr">
        <is>
          <t>tons/acre/year</t>
        </is>
      </c>
      <c r="B75" s="228">
        <f>IFERROR(B73*B74,"")</f>
        <v/>
      </c>
      <c r="C75" s="241" t="n"/>
      <c r="D75" s="241" t="n"/>
      <c r="E75" s="241" t="n"/>
      <c r="F75" s="241" t="n"/>
      <c r="G75" s="241" t="n"/>
      <c r="H75" s="241" t="n"/>
      <c r="I75" s="241" t="n"/>
      <c r="J75" s="241" t="n"/>
      <c r="K75" s="241" t="n"/>
    </row>
    <row r="76">
      <c r="A76" s="241" t="n"/>
      <c r="B76" s="241" t="n"/>
      <c r="C76" s="241" t="n"/>
      <c r="D76" s="241" t="n"/>
      <c r="E76" s="241" t="n"/>
      <c r="F76" s="241" t="n"/>
      <c r="G76" s="241" t="n"/>
      <c r="H76" s="241" t="n"/>
      <c r="I76" s="241" t="n"/>
      <c r="J76" s="241" t="n"/>
      <c r="K76" s="241" t="n"/>
    </row>
    <row r="77" ht="21" customHeight="1" s="239">
      <c r="A77" s="162" t="inlineStr">
        <is>
          <t>Soybean</t>
        </is>
      </c>
      <c r="B77" s="241" t="n"/>
      <c r="C77" s="241" t="n"/>
      <c r="D77" s="241" t="n"/>
      <c r="E77" s="241" t="n"/>
      <c r="F77" s="241" t="n"/>
      <c r="G77" s="241" t="n"/>
      <c r="H77" s="241" t="n"/>
      <c r="I77" s="241" t="n"/>
      <c r="J77" s="241" t="n"/>
      <c r="K77" s="241" t="n"/>
    </row>
    <row r="78">
      <c r="A78" s="241" t="n"/>
      <c r="B78" s="241" t="n"/>
      <c r="C78" s="241" t="n"/>
      <c r="D78" s="241" t="n"/>
      <c r="E78" s="241" t="n"/>
      <c r="F78" s="241" t="n"/>
      <c r="G78" s="241" t="n"/>
      <c r="H78" s="241" t="n"/>
      <c r="I78" s="241" t="n"/>
      <c r="J78" s="241" t="n"/>
      <c r="K78" s="241" t="n"/>
    </row>
    <row r="79" ht="21" customHeight="1" s="239">
      <c r="A79" s="159" t="inlineStr">
        <is>
          <t>crops/year</t>
        </is>
      </c>
      <c r="B79" s="227" t="n">
        <v>2</v>
      </c>
      <c r="C79" s="198" t="n"/>
      <c r="D79" s="198" t="n"/>
      <c r="E79" s="198" t="n"/>
      <c r="F79" s="198" t="n"/>
      <c r="G79" s="198" t="n"/>
      <c r="H79" s="198" t="n"/>
      <c r="I79" s="198" t="n"/>
      <c r="J79" s="198" t="n"/>
      <c r="K79" s="198" t="n"/>
    </row>
    <row r="80" ht="21" customHeight="1" s="239">
      <c r="A80" s="159" t="inlineStr">
        <is>
          <t>tons/acre/crop</t>
        </is>
      </c>
      <c r="B80" s="227" t="n">
        <v>1.2</v>
      </c>
      <c r="C80" s="198" t="n"/>
      <c r="D80" s="198" t="n"/>
      <c r="E80" s="198" t="n"/>
      <c r="F80" s="198" t="n"/>
      <c r="G80" s="198" t="n"/>
      <c r="H80" s="198" t="n"/>
      <c r="I80" s="198" t="n"/>
      <c r="J80" s="198" t="n"/>
      <c r="K80" s="198" t="n"/>
    </row>
    <row r="81" ht="21" customHeight="1" s="239">
      <c r="A81" s="159" t="inlineStr">
        <is>
          <t>tons/acre/year</t>
        </is>
      </c>
      <c r="B81" s="228">
        <f>IFERROR(B79*B80,"")</f>
        <v/>
      </c>
      <c r="C81" s="241" t="n"/>
      <c r="D81" s="241" t="n"/>
      <c r="E81" s="241" t="n"/>
      <c r="F81" s="241" t="n"/>
      <c r="G81" s="241" t="n"/>
      <c r="H81" s="241" t="n"/>
      <c r="I81" s="241" t="n"/>
      <c r="J81" s="241" t="n"/>
      <c r="K81" s="241" t="n"/>
    </row>
    <row r="82">
      <c r="A82" s="241" t="n"/>
      <c r="B82" s="241" t="n"/>
      <c r="C82" s="241" t="n"/>
      <c r="D82" s="241" t="n"/>
      <c r="E82" s="241" t="n"/>
      <c r="F82" s="241" t="n"/>
      <c r="G82" s="241" t="n"/>
      <c r="H82" s="241" t="n"/>
      <c r="I82" s="241" t="n"/>
      <c r="J82" s="241" t="n"/>
      <c r="K82" s="241" t="n"/>
    </row>
    <row r="83" ht="21" customHeight="1" s="239">
      <c r="A83" s="162" t="inlineStr">
        <is>
          <t>Sesame</t>
        </is>
      </c>
      <c r="B83" s="241" t="n"/>
      <c r="C83" s="241" t="n"/>
      <c r="D83" s="241" t="n"/>
      <c r="E83" s="241" t="n"/>
      <c r="F83" s="241" t="n"/>
      <c r="G83" s="241" t="n"/>
      <c r="H83" s="241" t="n"/>
      <c r="I83" s="241" t="n"/>
      <c r="J83" s="241" t="n"/>
      <c r="K83" s="241" t="n"/>
    </row>
    <row r="84">
      <c r="A84" s="241" t="n"/>
      <c r="B84" s="241" t="n"/>
      <c r="C84" s="241" t="n"/>
      <c r="D84" s="241" t="n"/>
      <c r="E84" s="241" t="n"/>
      <c r="F84" s="241" t="n"/>
      <c r="G84" s="241" t="n"/>
      <c r="H84" s="241" t="n"/>
      <c r="I84" s="241" t="n"/>
      <c r="J84" s="241" t="n"/>
      <c r="K84" s="241" t="n"/>
    </row>
    <row r="85" ht="21" customHeight="1" s="239">
      <c r="A85" s="159" t="inlineStr">
        <is>
          <t>crops/year</t>
        </is>
      </c>
      <c r="B85" s="227" t="n">
        <v>2</v>
      </c>
      <c r="C85" s="198" t="n"/>
      <c r="D85" s="198" t="n"/>
      <c r="E85" s="198" t="n"/>
      <c r="F85" s="198" t="n"/>
      <c r="G85" s="198" t="n"/>
      <c r="H85" s="198" t="n"/>
      <c r="I85" s="198" t="n"/>
      <c r="J85" s="198" t="n"/>
      <c r="K85" s="198" t="n"/>
    </row>
    <row r="86" ht="21" customHeight="1" s="239">
      <c r="A86" s="159" t="inlineStr">
        <is>
          <t>tons/acre</t>
        </is>
      </c>
      <c r="B86" s="227" t="n">
        <v>0.8</v>
      </c>
      <c r="C86" s="198" t="n"/>
      <c r="D86" s="198" t="n"/>
      <c r="E86" s="198" t="n"/>
      <c r="F86" s="198" t="n"/>
      <c r="G86" s="198" t="n"/>
      <c r="H86" s="198" t="n"/>
      <c r="I86" s="198" t="n"/>
      <c r="J86" s="198" t="n"/>
      <c r="K86" s="198" t="n"/>
    </row>
    <row r="87" ht="21" customHeight="1" s="239">
      <c r="A87" s="159" t="inlineStr">
        <is>
          <t>tons/acre/year</t>
        </is>
      </c>
      <c r="B87" s="228">
        <f>IFERROR(B85*B86,"")</f>
        <v/>
      </c>
      <c r="C87" s="241" t="n"/>
      <c r="D87" s="241" t="n"/>
      <c r="E87" s="241" t="n"/>
      <c r="F87" s="241" t="n"/>
      <c r="G87" s="241" t="n"/>
      <c r="H87" s="241" t="n"/>
      <c r="I87" s="241" t="n"/>
      <c r="J87" s="241" t="n"/>
      <c r="K87" s="241" t="n"/>
    </row>
    <row r="88">
      <c r="A88" s="241" t="n"/>
      <c r="B88" s="241" t="n"/>
      <c r="C88" s="241" t="n"/>
      <c r="D88" s="241" t="n"/>
      <c r="E88" s="241" t="n"/>
      <c r="F88" s="241" t="n"/>
      <c r="G88" s="241" t="n"/>
      <c r="H88" s="241" t="n"/>
      <c r="I88" s="241" t="n"/>
      <c r="J88" s="241" t="n"/>
      <c r="K88" s="241" t="n"/>
    </row>
    <row r="89">
      <c r="A89" s="241" t="n"/>
      <c r="B89" s="241" t="n"/>
      <c r="C89" s="241" t="n"/>
      <c r="D89" s="241" t="n"/>
      <c r="E89" s="241" t="n"/>
      <c r="F89" s="241" t="n"/>
      <c r="G89" s="241" t="n"/>
      <c r="H89" s="241" t="n"/>
      <c r="I89" s="241" t="n"/>
      <c r="J89" s="241" t="n"/>
      <c r="K89" s="241" t="n"/>
    </row>
    <row r="90" ht="33" customHeight="1" s="239">
      <c r="A90" s="161" t="inlineStr">
        <is>
          <t>Feed Farm Input Costs</t>
        </is>
      </c>
      <c r="B90" s="241" t="n"/>
      <c r="C90" s="241" t="n"/>
      <c r="D90" s="241" t="n"/>
      <c r="E90" s="241" t="n"/>
      <c r="F90" s="241" t="n"/>
      <c r="G90" s="241" t="n"/>
      <c r="H90" s="241" t="n"/>
      <c r="I90" s="241" t="n"/>
      <c r="J90" s="241" t="n"/>
      <c r="K90" s="241" t="n"/>
    </row>
    <row r="91">
      <c r="A91" s="241" t="n"/>
      <c r="B91" s="241" t="n"/>
      <c r="C91" s="241" t="n"/>
      <c r="D91" s="241" t="n"/>
      <c r="E91" s="241" t="n"/>
      <c r="F91" s="241" t="n"/>
      <c r="G91" s="241" t="n"/>
      <c r="H91" s="241" t="n"/>
      <c r="I91" s="241" t="n"/>
      <c r="J91" s="241" t="n"/>
      <c r="K91" s="241" t="n"/>
    </row>
    <row r="92" ht="26" customHeight="1" s="239">
      <c r="A92" s="163" t="inlineStr">
        <is>
          <t>Seed Costs</t>
        </is>
      </c>
      <c r="B92" s="241" t="n"/>
      <c r="C92" s="241" t="n"/>
      <c r="D92" s="241" t="n"/>
      <c r="E92" s="241" t="n"/>
      <c r="F92" s="241" t="n"/>
      <c r="G92" s="241" t="n"/>
      <c r="H92" s="241" t="n"/>
      <c r="I92" s="241" t="n"/>
      <c r="J92" s="241" t="n"/>
      <c r="K92" s="241" t="n"/>
    </row>
    <row r="93" ht="21" customHeight="1" s="239">
      <c r="A93" s="159" t="n"/>
      <c r="B93" s="241" t="n"/>
      <c r="C93" s="241" t="n"/>
      <c r="D93" s="241" t="n"/>
      <c r="E93" s="241" t="n"/>
      <c r="F93" s="241" t="n"/>
      <c r="G93" s="241" t="n"/>
      <c r="H93" s="241" t="n"/>
      <c r="I93" s="241" t="n"/>
      <c r="J93" s="241" t="n"/>
      <c r="K93" s="241" t="n"/>
    </row>
    <row r="94" ht="16" customHeight="1" s="239">
      <c r="A94" s="164" t="inlineStr">
        <is>
          <t>Crop</t>
        </is>
      </c>
      <c r="B94" s="164" t="inlineStr">
        <is>
          <t>₦/Acre</t>
        </is>
      </c>
      <c r="C94" s="241" t="n"/>
      <c r="D94" s="241" t="n"/>
      <c r="E94" s="241" t="n"/>
      <c r="F94" s="241" t="n"/>
      <c r="G94" s="241" t="n"/>
      <c r="H94" s="241" t="n"/>
      <c r="I94" s="241" t="n"/>
      <c r="J94" s="241" t="n"/>
      <c r="K94" s="241" t="n"/>
    </row>
    <row r="95" ht="16" customHeight="1" s="239">
      <c r="A95" s="165" t="inlineStr">
        <is>
          <t>King Grass</t>
        </is>
      </c>
      <c r="B95" s="229" t="n">
        <v>50000</v>
      </c>
      <c r="C95" s="241" t="n"/>
      <c r="D95" s="241" t="n"/>
      <c r="E95" s="241" t="n"/>
      <c r="F95" s="241" t="n"/>
      <c r="G95" s="241" t="n"/>
      <c r="H95" s="241" t="n"/>
      <c r="I95" s="241" t="n"/>
      <c r="J95" s="241" t="n"/>
      <c r="K95" s="241" t="n"/>
    </row>
    <row r="96" ht="16" customHeight="1" s="239">
      <c r="A96" s="165" t="inlineStr">
        <is>
          <t>Alfalfa</t>
        </is>
      </c>
      <c r="B96" s="229" t="n">
        <v>120000</v>
      </c>
      <c r="C96" s="241" t="n"/>
      <c r="D96" s="241" t="n"/>
      <c r="E96" s="241" t="n"/>
      <c r="F96" s="241" t="n"/>
      <c r="G96" s="241" t="n"/>
      <c r="H96" s="241" t="n"/>
      <c r="I96" s="241" t="n"/>
      <c r="J96" s="241" t="n"/>
      <c r="K96" s="241" t="n"/>
    </row>
    <row r="97" ht="16" customHeight="1" s="239">
      <c r="A97" s="165" t="inlineStr">
        <is>
          <t>Corn</t>
        </is>
      </c>
      <c r="B97" s="229" t="n">
        <v>80000</v>
      </c>
      <c r="C97" s="241" t="n"/>
      <c r="D97" s="241" t="n"/>
      <c r="E97" s="241" t="n"/>
      <c r="F97" s="241" t="n"/>
      <c r="G97" s="241" t="n"/>
      <c r="H97" s="241" t="n"/>
      <c r="I97" s="241" t="n"/>
      <c r="J97" s="241" t="n"/>
      <c r="K97" s="241" t="n"/>
    </row>
    <row r="98" ht="16" customHeight="1" s="239">
      <c r="A98" s="165" t="inlineStr">
        <is>
          <t>Soybean</t>
        </is>
      </c>
      <c r="B98" s="229" t="n">
        <v>40000</v>
      </c>
      <c r="C98" s="241" t="n"/>
      <c r="D98" s="241" t="n"/>
      <c r="E98" s="241" t="n"/>
      <c r="F98" s="241" t="n"/>
      <c r="G98" s="241" t="n"/>
      <c r="H98" s="241" t="n"/>
      <c r="I98" s="241" t="n"/>
      <c r="J98" s="241" t="n"/>
      <c r="K98" s="241" t="n"/>
    </row>
    <row r="99" ht="16" customHeight="1" s="239">
      <c r="A99" s="165" t="inlineStr">
        <is>
          <t>Sesame</t>
        </is>
      </c>
      <c r="B99" s="229" t="n">
        <v>35000</v>
      </c>
      <c r="C99" s="241" t="n"/>
      <c r="D99" s="241" t="n"/>
      <c r="E99" s="241" t="n"/>
      <c r="F99" s="241" t="n"/>
      <c r="G99" s="241" t="n"/>
      <c r="H99" s="241" t="n"/>
      <c r="I99" s="241" t="n"/>
      <c r="J99" s="241" t="n"/>
      <c r="K99" s="241" t="n"/>
    </row>
    <row r="100">
      <c r="A100" s="241" t="n"/>
      <c r="B100" s="241" t="n"/>
      <c r="C100" s="241" t="n"/>
      <c r="D100" s="241" t="n"/>
      <c r="E100" s="241" t="n"/>
      <c r="F100" s="241" t="n"/>
      <c r="G100" s="241" t="n"/>
      <c r="H100" s="241" t="n"/>
      <c r="I100" s="241" t="n"/>
      <c r="J100" s="241" t="n"/>
      <c r="K100" s="241" t="n"/>
    </row>
    <row r="101" ht="21" customHeight="1" s="239">
      <c r="A101" s="159" t="inlineStr">
        <is>
          <t>Additional Inputs:</t>
        </is>
      </c>
      <c r="B101" s="241" t="n"/>
      <c r="C101" s="241" t="n"/>
      <c r="D101" s="241" t="n"/>
      <c r="E101" s="241" t="n"/>
      <c r="F101" s="241" t="n"/>
      <c r="G101" s="241" t="n"/>
      <c r="H101" s="241" t="n"/>
      <c r="I101" s="241" t="n"/>
      <c r="J101" s="241" t="n"/>
      <c r="K101" s="241" t="n"/>
    </row>
    <row r="102">
      <c r="A102" s="241" t="n"/>
      <c r="B102" s="241" t="n"/>
      <c r="C102" s="241" t="n"/>
      <c r="D102" s="241" t="n"/>
      <c r="E102" s="241" t="n"/>
      <c r="F102" s="241" t="n"/>
      <c r="G102" s="241" t="n"/>
      <c r="H102" s="241" t="n"/>
      <c r="I102" s="241" t="n"/>
      <c r="J102" s="241" t="n"/>
      <c r="K102" s="241" t="n"/>
    </row>
    <row r="103" ht="21" customHeight="1" s="239">
      <c r="A103" s="159" t="inlineStr">
        <is>
          <t>Fertilizer: ₦100,000/Acre</t>
        </is>
      </c>
      <c r="B103" s="241" t="n"/>
      <c r="C103" s="241" t="n"/>
      <c r="D103" s="241" t="n"/>
      <c r="E103" s="241" t="n"/>
      <c r="F103" s="241" t="n"/>
      <c r="G103" s="241" t="n"/>
      <c r="H103" s="241" t="n"/>
      <c r="I103" s="241" t="n"/>
      <c r="J103" s="241" t="n"/>
      <c r="K103" s="241" t="n"/>
    </row>
    <row r="104" ht="21" customHeight="1" s="239">
      <c r="A104" s="159" t="inlineStr">
        <is>
          <t>Herbicide: ₦25,000/Acre</t>
        </is>
      </c>
      <c r="B104" s="241" t="n"/>
      <c r="C104" s="241" t="n"/>
      <c r="D104" s="241" t="n"/>
      <c r="E104" s="241" t="n"/>
      <c r="F104" s="241" t="n"/>
      <c r="G104" s="241" t="n"/>
      <c r="H104" s="241" t="n"/>
      <c r="I104" s="241" t="n"/>
      <c r="J104" s="241" t="n"/>
      <c r="K104" s="241" t="n"/>
    </row>
    <row r="105" ht="21" customHeight="1" s="239">
      <c r="A105" s="159" t="inlineStr">
        <is>
          <t>Pesticides: ₦15,000/Acre</t>
        </is>
      </c>
      <c r="B105" s="241" t="n"/>
      <c r="C105" s="241" t="n"/>
      <c r="D105" s="241" t="n"/>
      <c r="E105" s="241" t="n"/>
      <c r="F105" s="241" t="n"/>
      <c r="G105" s="241" t="n"/>
      <c r="H105" s="241" t="n"/>
      <c r="I105" s="241" t="n"/>
      <c r="J105" s="241" t="n"/>
      <c r="K105" s="241" t="n"/>
    </row>
    <row r="106" ht="21" customHeight="1" s="239">
      <c r="A106" s="159" t="inlineStr">
        <is>
          <t>Irrigation: ₦40,000/Acre</t>
        </is>
      </c>
      <c r="B106" s="241" t="n"/>
      <c r="C106" s="241" t="n"/>
      <c r="D106" s="241" t="n"/>
      <c r="E106" s="241" t="n"/>
      <c r="F106" s="241" t="n"/>
      <c r="G106" s="241" t="n"/>
      <c r="H106" s="241" t="n"/>
      <c r="I106" s="241" t="n"/>
      <c r="J106" s="241" t="n"/>
      <c r="K106" s="241" t="n"/>
    </row>
    <row r="107" ht="21" customHeight="1" s="239">
      <c r="A107" s="159" t="inlineStr">
        <is>
          <t>Tractor Operations: ₦60,000/Acre</t>
        </is>
      </c>
      <c r="B107" s="241" t="n"/>
      <c r="C107" s="241" t="n"/>
      <c r="D107" s="241" t="n"/>
      <c r="E107" s="241" t="n"/>
      <c r="F107" s="241" t="n"/>
      <c r="G107" s="241" t="n"/>
      <c r="H107" s="241" t="n"/>
      <c r="I107" s="241" t="n"/>
      <c r="J107" s="241" t="n"/>
      <c r="K107" s="241" t="n"/>
    </row>
    <row r="108">
      <c r="A108" s="241" t="n"/>
      <c r="B108" s="241" t="n"/>
      <c r="C108" s="241" t="n"/>
      <c r="D108" s="241" t="n"/>
      <c r="E108" s="241" t="n"/>
      <c r="F108" s="241" t="n"/>
      <c r="G108" s="241" t="n"/>
      <c r="H108" s="241" t="n"/>
      <c r="I108" s="241" t="n"/>
      <c r="J108" s="241" t="n"/>
      <c r="K108" s="241" t="n"/>
    </row>
    <row r="109">
      <c r="A109" s="241" t="n"/>
      <c r="B109" s="241" t="n"/>
      <c r="C109" s="241" t="n"/>
      <c r="D109" s="241" t="n"/>
      <c r="E109" s="241" t="n"/>
      <c r="F109" s="241" t="n"/>
      <c r="G109" s="241" t="n"/>
      <c r="H109" s="241" t="n"/>
      <c r="I109" s="241" t="n"/>
      <c r="J109" s="241" t="n"/>
      <c r="K109" s="241" t="n"/>
    </row>
    <row r="110" ht="33" customHeight="1" s="239">
      <c r="A110" s="161" t="inlineStr">
        <is>
          <t>Feed Farm Labour Model</t>
        </is>
      </c>
      <c r="B110" s="241" t="n"/>
      <c r="C110" s="241" t="n"/>
      <c r="D110" s="241" t="n"/>
      <c r="E110" s="241" t="n"/>
      <c r="F110" s="241" t="n"/>
      <c r="G110" s="241" t="n"/>
      <c r="H110" s="241" t="n"/>
      <c r="I110" s="241" t="n"/>
      <c r="J110" s="241" t="n"/>
      <c r="K110" s="241" t="n"/>
    </row>
    <row r="111">
      <c r="A111" s="241" t="n"/>
      <c r="B111" s="241" t="n"/>
      <c r="C111" s="241" t="n"/>
      <c r="D111" s="241" t="n"/>
      <c r="E111" s="241" t="n"/>
      <c r="F111" s="241" t="n"/>
      <c r="G111" s="241" t="n"/>
      <c r="H111" s="241" t="n"/>
      <c r="I111" s="241" t="n"/>
      <c r="J111" s="241" t="n"/>
      <c r="K111" s="241" t="n"/>
    </row>
    <row r="112" ht="21" customHeight="1" s="239">
      <c r="A112" s="162" t="inlineStr">
        <is>
          <t>Labour Requirements</t>
        </is>
      </c>
      <c r="B112" s="241" t="n"/>
      <c r="C112" s="241" t="n"/>
      <c r="D112" s="241" t="n"/>
      <c r="E112" s="241" t="n"/>
      <c r="F112" s="241" t="n"/>
      <c r="G112" s="241" t="n"/>
      <c r="H112" s="241" t="n"/>
      <c r="I112" s="241" t="n"/>
      <c r="J112" s="241" t="n"/>
      <c r="K112" s="241" t="n"/>
    </row>
    <row r="113" ht="21" customHeight="1" s="239">
      <c r="A113" s="159" t="n"/>
      <c r="B113" s="241" t="n"/>
      <c r="C113" s="241" t="n"/>
      <c r="D113" s="241" t="n"/>
      <c r="E113" s="241" t="n"/>
      <c r="F113" s="241" t="n"/>
      <c r="G113" s="241" t="n"/>
      <c r="H113" s="241" t="n"/>
      <c r="I113" s="241" t="n"/>
      <c r="J113" s="241" t="n"/>
      <c r="K113" s="241" t="n"/>
    </row>
    <row r="114" ht="16" customHeight="1" s="239">
      <c r="A114" s="164" t="inlineStr">
        <is>
          <t>Crop</t>
        </is>
      </c>
      <c r="B114" s="164" t="inlineStr">
        <is>
          <t>Labour Days</t>
        </is>
      </c>
      <c r="C114" s="241" t="n"/>
      <c r="D114" s="241" t="n"/>
      <c r="E114" s="241" t="n"/>
      <c r="F114" s="241" t="n"/>
      <c r="G114" s="241" t="n"/>
      <c r="H114" s="241" t="n"/>
      <c r="I114" s="241" t="n"/>
      <c r="J114" s="241" t="n"/>
      <c r="K114" s="241" t="n"/>
    </row>
    <row r="115" ht="16" customHeight="1" s="239">
      <c r="A115" s="165" t="inlineStr">
        <is>
          <t>King Grass</t>
        </is>
      </c>
      <c r="B115" s="165" t="inlineStr">
        <is>
          <t>34 Days/Acre/Year</t>
        </is>
      </c>
      <c r="C115" s="241" t="n"/>
      <c r="D115" s="241" t="n"/>
      <c r="E115" s="241" t="n"/>
      <c r="F115" s="241" t="n"/>
      <c r="G115" s="241" t="n"/>
      <c r="H115" s="241" t="n"/>
      <c r="I115" s="241" t="n"/>
      <c r="J115" s="241" t="n"/>
      <c r="K115" s="241" t="n"/>
    </row>
    <row r="116" ht="16" customHeight="1" s="239">
      <c r="A116" s="165" t="inlineStr">
        <is>
          <t>Corn</t>
        </is>
      </c>
      <c r="B116" s="165" t="inlineStr">
        <is>
          <t>12 Days/Acre/Crop</t>
        </is>
      </c>
      <c r="C116" s="241" t="n"/>
      <c r="D116" s="241" t="n"/>
      <c r="E116" s="241" t="n"/>
      <c r="F116" s="241" t="n"/>
      <c r="G116" s="241" t="n"/>
      <c r="H116" s="241" t="n"/>
      <c r="I116" s="241" t="n"/>
      <c r="J116" s="241" t="n"/>
      <c r="K116" s="241" t="n"/>
    </row>
    <row r="117" ht="16" customHeight="1" s="239">
      <c r="A117" s="165" t="inlineStr">
        <is>
          <t>Alfalfa</t>
        </is>
      </c>
      <c r="B117" s="165" t="inlineStr">
        <is>
          <t>29 Days/Acre/Year</t>
        </is>
      </c>
      <c r="C117" s="241" t="n"/>
      <c r="D117" s="241" t="n"/>
      <c r="E117" s="241" t="n"/>
      <c r="F117" s="241" t="n"/>
      <c r="G117" s="241" t="n"/>
      <c r="H117" s="241" t="n"/>
      <c r="I117" s="241" t="n"/>
      <c r="J117" s="241" t="n"/>
      <c r="K117" s="241" t="n"/>
    </row>
    <row r="118" ht="16" customHeight="1" s="239">
      <c r="A118" s="165" t="inlineStr">
        <is>
          <t>Soybean</t>
        </is>
      </c>
      <c r="B118" s="165" t="inlineStr">
        <is>
          <t>9 Days/Acre/Crop</t>
        </is>
      </c>
      <c r="C118" s="241" t="n"/>
      <c r="D118" s="241" t="n"/>
      <c r="E118" s="241" t="n"/>
      <c r="F118" s="241" t="n"/>
      <c r="G118" s="241" t="n"/>
      <c r="H118" s="241" t="n"/>
      <c r="I118" s="241" t="n"/>
      <c r="J118" s="241" t="n"/>
      <c r="K118" s="241" t="n"/>
    </row>
    <row r="119" ht="16" customHeight="1" s="239">
      <c r="A119" s="165" t="inlineStr">
        <is>
          <t>Sesame</t>
        </is>
      </c>
      <c r="B119" s="165" t="inlineStr">
        <is>
          <t>9 Days/Acre/Crop</t>
        </is>
      </c>
      <c r="C119" s="241" t="n"/>
      <c r="D119" s="241" t="n"/>
      <c r="E119" s="241" t="n"/>
      <c r="F119" s="241" t="n"/>
      <c r="G119" s="241" t="n"/>
      <c r="H119" s="241" t="n"/>
      <c r="I119" s="241" t="n"/>
      <c r="J119" s="241" t="n"/>
      <c r="K119" s="241" t="n"/>
    </row>
    <row r="120">
      <c r="A120" s="241" t="n"/>
      <c r="B120" s="241" t="n"/>
      <c r="C120" s="241" t="n"/>
      <c r="D120" s="241" t="n"/>
      <c r="E120" s="241" t="n"/>
      <c r="F120" s="241" t="n"/>
      <c r="G120" s="241" t="n"/>
      <c r="H120" s="241" t="n"/>
      <c r="I120" s="241" t="n"/>
      <c r="J120" s="241" t="n"/>
      <c r="K120" s="241" t="n"/>
    </row>
    <row r="121" ht="21" customHeight="1" s="239">
      <c r="A121" s="159" t="inlineStr">
        <is>
          <t>Total Estimated Labour: ≈ 2,205 Labour Days/Year</t>
        </is>
      </c>
      <c r="B121" s="241" t="n"/>
      <c r="C121" s="241" t="n"/>
      <c r="D121" s="241" t="n"/>
      <c r="E121" s="241" t="n"/>
      <c r="F121" s="241" t="n"/>
      <c r="G121" s="241" t="n"/>
      <c r="H121" s="241" t="n"/>
      <c r="I121" s="241" t="n"/>
      <c r="J121" s="241" t="n"/>
      <c r="K121" s="241" t="n"/>
    </row>
    <row r="122">
      <c r="A122" s="241" t="n"/>
      <c r="B122" s="241" t="n"/>
      <c r="C122" s="241" t="n"/>
      <c r="D122" s="241" t="n"/>
      <c r="E122" s="241" t="n"/>
      <c r="F122" s="241" t="n"/>
      <c r="G122" s="241" t="n"/>
      <c r="H122" s="241" t="n"/>
      <c r="I122" s="241" t="n"/>
      <c r="J122" s="241" t="n"/>
      <c r="K122" s="241" t="n"/>
    </row>
    <row r="123" ht="21" customHeight="1" s="239">
      <c r="A123" s="162" t="inlineStr">
        <is>
          <t>Permanent Staff</t>
        </is>
      </c>
      <c r="B123" s="241" t="n"/>
      <c r="C123" s="241" t="n"/>
      <c r="D123" s="241" t="n"/>
      <c r="E123" s="241" t="n"/>
      <c r="F123" s="241" t="n"/>
      <c r="G123" s="241" t="n"/>
      <c r="H123" s="241" t="n"/>
      <c r="I123" s="241" t="n"/>
      <c r="J123" s="241" t="n"/>
      <c r="K123" s="241" t="n"/>
    </row>
    <row r="124" ht="21" customHeight="1" s="239">
      <c r="A124" s="159" t="n"/>
      <c r="B124" s="241" t="n"/>
      <c r="C124" s="241" t="n"/>
      <c r="D124" s="241" t="n"/>
      <c r="E124" s="241" t="n"/>
      <c r="F124" s="241" t="n"/>
      <c r="G124" s="241" t="n"/>
      <c r="H124" s="241" t="n"/>
      <c r="I124" s="241" t="n"/>
      <c r="J124" s="241" t="n"/>
      <c r="K124" s="241" t="n"/>
    </row>
    <row r="125" ht="16" customHeight="1" s="239">
      <c r="A125" s="164" t="inlineStr">
        <is>
          <t>Position</t>
        </is>
      </c>
      <c r="B125" s="164" t="inlineStr">
        <is>
          <t>Headcount</t>
        </is>
      </c>
      <c r="C125" s="241" t="n"/>
      <c r="D125" s="241" t="n"/>
      <c r="E125" s="241" t="n"/>
      <c r="F125" s="241" t="n"/>
      <c r="G125" s="241" t="n"/>
      <c r="H125" s="241" t="n"/>
      <c r="I125" s="241" t="n"/>
      <c r="J125" s="241" t="n"/>
      <c r="K125" s="241" t="n"/>
    </row>
    <row r="126" ht="16" customHeight="1" s="239">
      <c r="A126" s="165" t="inlineStr">
        <is>
          <t>Farm Manager</t>
        </is>
      </c>
      <c r="B126" s="229" t="n">
        <v>1</v>
      </c>
      <c r="C126" s="241" t="n"/>
      <c r="D126" s="241" t="n"/>
      <c r="E126" s="241" t="n"/>
      <c r="F126" s="241" t="n"/>
      <c r="G126" s="241" t="n"/>
      <c r="H126" s="241" t="n"/>
      <c r="I126" s="241" t="n"/>
      <c r="J126" s="241" t="n"/>
      <c r="K126" s="241" t="n"/>
    </row>
    <row r="127" ht="16" customHeight="1" s="239">
      <c r="A127" s="165" t="inlineStr">
        <is>
          <t>Tractor Operator</t>
        </is>
      </c>
      <c r="B127" s="229" t="n">
        <v>2</v>
      </c>
      <c r="C127" s="241" t="n"/>
      <c r="D127" s="241" t="n"/>
      <c r="E127" s="241" t="n"/>
      <c r="F127" s="241" t="n"/>
      <c r="G127" s="241" t="n"/>
      <c r="H127" s="241" t="n"/>
      <c r="I127" s="241" t="n"/>
      <c r="J127" s="241" t="n"/>
      <c r="K127" s="241" t="n"/>
    </row>
    <row r="128" ht="16" customHeight="1" s="239">
      <c r="A128" s="165" t="inlineStr">
        <is>
          <t>Irrigation Operator</t>
        </is>
      </c>
      <c r="B128" s="229" t="n">
        <v>1</v>
      </c>
      <c r="C128" s="241" t="n"/>
      <c r="D128" s="241" t="n"/>
      <c r="E128" s="241" t="n"/>
      <c r="F128" s="241" t="n"/>
      <c r="G128" s="241" t="n"/>
      <c r="H128" s="241" t="n"/>
      <c r="I128" s="241" t="n"/>
      <c r="J128" s="241" t="n"/>
      <c r="K128" s="241" t="n"/>
    </row>
    <row r="129" ht="16" customHeight="1" s="239">
      <c r="A129" s="165" t="inlineStr">
        <is>
          <t>Field Workers</t>
        </is>
      </c>
      <c r="B129" s="229" t="n">
        <v>4</v>
      </c>
      <c r="C129" s="241" t="n"/>
      <c r="D129" s="241" t="n"/>
      <c r="E129" s="241" t="n"/>
      <c r="F129" s="241" t="n"/>
      <c r="G129" s="241" t="n"/>
      <c r="H129" s="241" t="n"/>
      <c r="I129" s="241" t="n"/>
      <c r="J129" s="241" t="n"/>
      <c r="K129" s="241" t="n"/>
    </row>
    <row r="130" ht="16" customHeight="1" s="239">
      <c r="A130" s="165" t="inlineStr">
        <is>
          <t>Storekeeper</t>
        </is>
      </c>
      <c r="B130" s="229" t="n">
        <v>1</v>
      </c>
      <c r="C130" s="241" t="n"/>
      <c r="D130" s="241" t="n"/>
      <c r="E130" s="241" t="n"/>
      <c r="F130" s="241" t="n"/>
      <c r="G130" s="241" t="n"/>
      <c r="H130" s="241" t="n"/>
      <c r="I130" s="241" t="n"/>
      <c r="J130" s="241" t="n"/>
      <c r="K130" s="241" t="n"/>
    </row>
    <row r="131">
      <c r="A131" s="241" t="n"/>
      <c r="B131" s="241" t="n"/>
      <c r="C131" s="241" t="n"/>
      <c r="D131" s="241" t="n"/>
      <c r="E131" s="241" t="n"/>
      <c r="F131" s="241" t="n"/>
      <c r="G131" s="241" t="n"/>
      <c r="H131" s="241" t="n"/>
      <c r="I131" s="241" t="n"/>
      <c r="J131" s="241" t="n"/>
      <c r="K131" s="241" t="n"/>
    </row>
    <row r="132" ht="21" customHeight="1" s="239">
      <c r="A132" s="159" t="inlineStr">
        <is>
          <t>Total Permanent Staff = 9</t>
        </is>
      </c>
      <c r="B132" s="241" t="n"/>
      <c r="C132" s="241" t="n"/>
      <c r="D132" s="241" t="n"/>
      <c r="E132" s="241" t="n"/>
      <c r="F132" s="241" t="n"/>
      <c r="G132" s="241" t="n"/>
      <c r="H132" s="241" t="n"/>
      <c r="I132" s="241" t="n"/>
      <c r="J132" s="241" t="n"/>
      <c r="K132" s="241" t="n"/>
    </row>
    <row r="133">
      <c r="A133" s="241" t="n"/>
      <c r="B133" s="241" t="n"/>
      <c r="C133" s="241" t="n"/>
      <c r="D133" s="241" t="n"/>
      <c r="E133" s="241" t="n"/>
      <c r="F133" s="241" t="n"/>
      <c r="G133" s="241" t="n"/>
      <c r="H133" s="241" t="n"/>
      <c r="I133" s="241" t="n"/>
      <c r="J133" s="241" t="n"/>
      <c r="K133" s="241" t="n"/>
    </row>
    <row r="134" ht="21" customHeight="1" s="239">
      <c r="A134" s="159" t="inlineStr">
        <is>
          <t>Include seasonal labour.</t>
        </is>
      </c>
      <c r="B134" s="241" t="n"/>
      <c r="C134" s="241" t="n"/>
      <c r="D134" s="241" t="n"/>
      <c r="E134" s="241" t="n"/>
      <c r="F134" s="241" t="n"/>
      <c r="G134" s="241" t="n"/>
      <c r="H134" s="241" t="n"/>
      <c r="I134" s="241" t="n"/>
      <c r="J134" s="241" t="n"/>
      <c r="K134" s="241" t="n"/>
    </row>
    <row r="135">
      <c r="A135" s="241" t="n"/>
      <c r="B135" s="241" t="n"/>
      <c r="C135" s="241" t="n"/>
      <c r="D135" s="241" t="n"/>
      <c r="E135" s="241" t="n"/>
      <c r="F135" s="241" t="n"/>
      <c r="G135" s="241" t="n"/>
      <c r="H135" s="241" t="n"/>
      <c r="I135" s="241" t="n"/>
      <c r="J135" s="241" t="n"/>
      <c r="K135" s="241" t="n"/>
    </row>
    <row r="136" ht="21" customHeight="1" s="239">
      <c r="A136" s="162" t="inlineStr">
        <is>
          <t>Feed Labour KPIs</t>
        </is>
      </c>
      <c r="B136" s="241" t="n"/>
      <c r="C136" s="241" t="n"/>
      <c r="D136" s="241" t="n"/>
      <c r="E136" s="241" t="n"/>
      <c r="F136" s="241" t="n"/>
      <c r="G136" s="241" t="n"/>
      <c r="H136" s="241" t="n"/>
      <c r="I136" s="241" t="n"/>
      <c r="J136" s="241" t="n"/>
      <c r="K136" s="241" t="n"/>
    </row>
    <row r="137">
      <c r="A137" s="241" t="n"/>
      <c r="B137" s="241" t="n"/>
      <c r="C137" s="241" t="n"/>
      <c r="D137" s="241" t="n"/>
      <c r="E137" s="241" t="n"/>
      <c r="F137" s="241" t="n"/>
      <c r="G137" s="241" t="n"/>
      <c r="H137" s="241" t="n"/>
      <c r="I137" s="241" t="n"/>
      <c r="J137" s="241" t="n"/>
      <c r="K137" s="241" t="n"/>
    </row>
    <row r="138" ht="21" customHeight="1" s="239">
      <c r="A138" s="159" t="inlineStr">
        <is>
          <t>Calculate:</t>
        </is>
      </c>
      <c r="B138" s="241" t="n"/>
      <c r="C138" s="241" t="n"/>
      <c r="D138" s="241" t="n"/>
      <c r="E138" s="241" t="n"/>
      <c r="F138" s="241" t="n"/>
      <c r="G138" s="241" t="n"/>
      <c r="H138" s="241" t="n"/>
      <c r="I138" s="241" t="n"/>
      <c r="J138" s="241" t="n"/>
      <c r="K138" s="241" t="n"/>
    </row>
    <row r="139">
      <c r="A139" s="241" t="n"/>
      <c r="B139" s="241" t="n"/>
      <c r="C139" s="241" t="n"/>
      <c r="D139" s="241" t="n"/>
      <c r="E139" s="241" t="n"/>
      <c r="F139" s="241" t="n"/>
      <c r="G139" s="241" t="n"/>
      <c r="H139" s="241" t="n"/>
      <c r="I139" s="241" t="n"/>
      <c r="J139" s="241" t="n"/>
      <c r="K139" s="241" t="n"/>
    </row>
    <row r="140" ht="21" customHeight="1" s="239">
      <c r="A140" s="159" t="inlineStr">
        <is>
          <t>Labour Cost/Acre</t>
        </is>
      </c>
      <c r="B140" s="241" t="n"/>
      <c r="C140" s="241" t="n"/>
      <c r="D140" s="241" t="n"/>
      <c r="E140" s="241" t="n"/>
      <c r="F140" s="241" t="n"/>
      <c r="G140" s="241" t="n"/>
      <c r="H140" s="241" t="n"/>
      <c r="I140" s="241" t="n"/>
      <c r="J140" s="241" t="n"/>
      <c r="K140" s="241" t="n"/>
    </row>
    <row r="141" ht="21" customHeight="1" s="239">
      <c r="A141" s="159" t="inlineStr">
        <is>
          <t>Labour Cost/Ton Feed</t>
        </is>
      </c>
      <c r="B141" s="241" t="n"/>
      <c r="C141" s="241" t="n"/>
      <c r="D141" s="241" t="n"/>
      <c r="E141" s="241" t="n"/>
      <c r="F141" s="241" t="n"/>
      <c r="G141" s="241" t="n"/>
      <c r="H141" s="241" t="n"/>
      <c r="I141" s="241" t="n"/>
      <c r="J141" s="241" t="n"/>
      <c r="K141" s="241" t="n"/>
    </row>
    <row r="142" ht="21" customHeight="1" s="239">
      <c r="A142" s="159" t="inlineStr">
        <is>
          <t>Labour Cost/Kg Feed</t>
        </is>
      </c>
      <c r="B142" s="241" t="n"/>
      <c r="C142" s="241" t="n"/>
      <c r="D142" s="241" t="n"/>
      <c r="E142" s="241" t="n"/>
      <c r="F142" s="241" t="n"/>
      <c r="G142" s="241" t="n"/>
      <c r="H142" s="241" t="n"/>
      <c r="I142" s="241" t="n"/>
      <c r="J142" s="241" t="n"/>
      <c r="K142" s="241" t="n"/>
    </row>
    <row r="143" ht="21" customHeight="1" s="239">
      <c r="A143" s="159" t="inlineStr">
        <is>
          <t>Feed Produced/Worker</t>
        </is>
      </c>
      <c r="B143" s="241" t="n"/>
      <c r="C143" s="241" t="n"/>
      <c r="D143" s="241" t="n"/>
      <c r="E143" s="241" t="n"/>
      <c r="F143" s="241" t="n"/>
      <c r="G143" s="241" t="n"/>
      <c r="H143" s="241" t="n"/>
      <c r="I143" s="241" t="n"/>
      <c r="J143" s="241" t="n"/>
      <c r="K143" s="241" t="n"/>
    </row>
    <row r="144">
      <c r="A144" s="241" t="n"/>
      <c r="B144" s="241" t="n"/>
      <c r="C144" s="241" t="n"/>
      <c r="D144" s="241" t="n"/>
      <c r="E144" s="241" t="n"/>
      <c r="F144" s="241" t="n"/>
      <c r="G144" s="241" t="n"/>
      <c r="H144" s="241" t="n"/>
      <c r="I144" s="241" t="n"/>
      <c r="J144" s="241" t="n"/>
      <c r="K144" s="241" t="n"/>
    </row>
    <row r="145">
      <c r="A145" s="241" t="n"/>
      <c r="B145" s="241" t="n"/>
      <c r="C145" s="241" t="n"/>
      <c r="D145" s="241" t="n"/>
      <c r="E145" s="241" t="n"/>
      <c r="F145" s="241" t="n"/>
      <c r="G145" s="241" t="n"/>
      <c r="H145" s="241" t="n"/>
      <c r="I145" s="241" t="n"/>
      <c r="J145" s="241" t="n"/>
      <c r="K145" s="241" t="n"/>
    </row>
    <row r="146">
      <c r="A146" s="241" t="n"/>
      <c r="B146" s="241" t="n"/>
      <c r="C146" s="241" t="n"/>
      <c r="D146" s="241" t="n"/>
      <c r="E146" s="241" t="n"/>
      <c r="F146" s="241" t="n"/>
      <c r="G146" s="241" t="n"/>
      <c r="H146" s="241" t="n"/>
      <c r="I146" s="241" t="n"/>
      <c r="J146" s="241" t="n"/>
      <c r="K146" s="241" t="n"/>
    </row>
    <row r="147" ht="33" customHeight="1" s="239">
      <c r="A147" s="161" t="inlineStr">
        <is>
          <t>Feed Production and Feed Cost Model</t>
        </is>
      </c>
      <c r="B147" s="241" t="n"/>
      <c r="C147" s="241" t="n"/>
      <c r="D147" s="241" t="n"/>
      <c r="E147" s="241" t="n"/>
      <c r="F147" s="241" t="n"/>
      <c r="G147" s="241" t="n"/>
      <c r="H147" s="241" t="n"/>
      <c r="I147" s="241" t="n"/>
      <c r="J147" s="241" t="n"/>
      <c r="K147" s="241" t="n"/>
    </row>
    <row r="148">
      <c r="A148" s="241" t="n"/>
      <c r="B148" s="241" t="n"/>
      <c r="C148" s="241" t="n"/>
      <c r="D148" s="241" t="n"/>
      <c r="E148" s="241" t="n"/>
      <c r="F148" s="241" t="n"/>
      <c r="G148" s="241" t="n"/>
      <c r="H148" s="241" t="n"/>
      <c r="I148" s="241" t="n"/>
      <c r="J148" s="241" t="n"/>
      <c r="K148" s="241" t="n"/>
    </row>
    <row r="149" ht="21" customHeight="1" s="239">
      <c r="A149" s="159" t="inlineStr">
        <is>
          <t>Calculate:</t>
        </is>
      </c>
      <c r="B149" s="241" t="n"/>
      <c r="C149" s="241" t="n"/>
      <c r="D149" s="241" t="n"/>
      <c r="E149" s="241" t="n"/>
      <c r="F149" s="241" t="n"/>
      <c r="G149" s="241" t="n"/>
      <c r="H149" s="241" t="n"/>
      <c r="I149" s="241" t="n"/>
      <c r="J149" s="241" t="n"/>
      <c r="K149" s="241" t="n"/>
    </row>
    <row r="150">
      <c r="A150" s="241" t="n"/>
      <c r="B150" s="241" t="n"/>
      <c r="C150" s="241" t="n"/>
      <c r="D150" s="241" t="n"/>
      <c r="E150" s="241" t="n"/>
      <c r="F150" s="241" t="n"/>
      <c r="G150" s="241" t="n"/>
      <c r="H150" s="241" t="n"/>
      <c r="I150" s="241" t="n"/>
      <c r="J150" s="241" t="n"/>
      <c r="K150" s="241" t="n"/>
    </row>
    <row r="151" ht="21" customHeight="1" s="239">
      <c r="A151" s="162" t="inlineStr">
        <is>
          <t>Feed Production</t>
        </is>
      </c>
      <c r="B151" s="241" t="n"/>
      <c r="C151" s="241" t="n"/>
      <c r="D151" s="241" t="n"/>
      <c r="E151" s="241" t="n"/>
      <c r="F151" s="241" t="n"/>
      <c r="G151" s="241" t="n"/>
      <c r="H151" s="241" t="n"/>
      <c r="I151" s="241" t="n"/>
      <c r="J151" s="241" t="n"/>
      <c r="K151" s="241" t="n"/>
    </row>
    <row r="152">
      <c r="A152" s="241" t="n"/>
      <c r="B152" s="241" t="n"/>
      <c r="C152" s="241" t="n"/>
      <c r="D152" s="241" t="n"/>
      <c r="E152" s="241" t="n"/>
      <c r="F152" s="241" t="n"/>
      <c r="G152" s="241" t="n"/>
      <c r="H152" s="241" t="n"/>
      <c r="I152" s="241" t="n"/>
      <c r="J152" s="241" t="n"/>
      <c r="K152" s="241" t="n"/>
    </row>
    <row r="153" ht="21" customHeight="1" s="239">
      <c r="A153" s="159" t="inlineStr">
        <is>
          <t>Excel</t>
        </is>
      </c>
      <c r="B153" s="241" t="n"/>
      <c r="C153" s="241" t="n"/>
      <c r="D153" s="241" t="n"/>
      <c r="E153" s="241" t="n"/>
      <c r="F153" s="241" t="n"/>
      <c r="G153" s="241" t="n"/>
      <c r="H153" s="241" t="n"/>
      <c r="I153" s="241" t="n"/>
      <c r="J153" s="241" t="n"/>
      <c r="K153" s="241" t="n"/>
    </row>
    <row r="154" ht="21" customHeight="1" s="239">
      <c r="A154" s="228" t="n">
        <v>1</v>
      </c>
      <c r="B154" s="241" t="n"/>
      <c r="C154" s="241" t="n"/>
      <c r="D154" s="241" t="n"/>
      <c r="E154" s="241" t="n"/>
      <c r="F154" s="241" t="n"/>
      <c r="G154" s="241" t="n"/>
      <c r="H154" s="241" t="n"/>
      <c r="I154" s="241" t="n"/>
      <c r="J154" s="241" t="n"/>
      <c r="K154" s="241" t="n"/>
    </row>
    <row r="155" ht="21" customHeight="1" s="239">
      <c r="A155" s="159" t="inlineStr">
        <is>
          <t>Acres × Yield × Harvests</t>
        </is>
      </c>
      <c r="B155" s="241" t="n"/>
      <c r="C155" s="241" t="n"/>
      <c r="D155" s="241" t="n"/>
      <c r="E155" s="241" t="n"/>
      <c r="F155" s="241" t="n"/>
      <c r="G155" s="241" t="n"/>
      <c r="H155" s="241" t="n"/>
      <c r="I155" s="241" t="n"/>
      <c r="J155" s="241" t="n"/>
      <c r="K155" s="241" t="n"/>
    </row>
    <row r="156" ht="21" customHeight="1" s="239">
      <c r="A156" s="159" t="inlineStr">
        <is>
          <t>Show more lines</t>
        </is>
      </c>
      <c r="B156" s="241" t="n"/>
      <c r="C156" s="241" t="n"/>
      <c r="D156" s="241" t="n"/>
      <c r="E156" s="241" t="n"/>
      <c r="F156" s="241" t="n"/>
      <c r="G156" s="241" t="n"/>
      <c r="H156" s="241" t="n"/>
      <c r="I156" s="241" t="n"/>
      <c r="J156" s="241" t="n"/>
      <c r="K156" s="241" t="n"/>
    </row>
    <row r="157">
      <c r="A157" s="241" t="n"/>
      <c r="B157" s="241" t="n"/>
      <c r="C157" s="241" t="n"/>
      <c r="D157" s="241" t="n"/>
      <c r="E157" s="241" t="n"/>
      <c r="F157" s="241" t="n"/>
      <c r="G157" s="241" t="n"/>
      <c r="H157" s="241" t="n"/>
      <c r="I157" s="241" t="n"/>
      <c r="J157" s="241" t="n"/>
      <c r="K157" s="241" t="n"/>
    </row>
    <row r="158" ht="21" customHeight="1" s="239">
      <c r="A158" s="162" t="inlineStr">
        <is>
          <t>Feed Available</t>
        </is>
      </c>
      <c r="B158" s="241" t="n"/>
      <c r="C158" s="241" t="n"/>
      <c r="D158" s="241" t="n"/>
      <c r="E158" s="241" t="n"/>
      <c r="F158" s="241" t="n"/>
      <c r="G158" s="241" t="n"/>
      <c r="H158" s="241" t="n"/>
      <c r="I158" s="241" t="n"/>
      <c r="J158" s="241" t="n"/>
      <c r="K158" s="241" t="n"/>
    </row>
    <row r="159">
      <c r="A159" s="241" t="n"/>
      <c r="B159" s="241" t="n"/>
      <c r="C159" s="241" t="n"/>
      <c r="D159" s="241" t="n"/>
      <c r="E159" s="241" t="n"/>
      <c r="F159" s="241" t="n"/>
      <c r="G159" s="241" t="n"/>
      <c r="H159" s="241" t="n"/>
      <c r="I159" s="241" t="n"/>
      <c r="J159" s="241" t="n"/>
      <c r="K159" s="241" t="n"/>
    </row>
    <row r="160" ht="21" customHeight="1" s="239">
      <c r="A160" s="159" t="inlineStr">
        <is>
          <t>Excel</t>
        </is>
      </c>
      <c r="B160" s="241" t="n"/>
      <c r="C160" s="241" t="n"/>
      <c r="D160" s="241" t="n"/>
      <c r="E160" s="241" t="n"/>
      <c r="F160" s="241" t="n"/>
      <c r="G160" s="241" t="n"/>
      <c r="H160" s="241" t="n"/>
      <c r="I160" s="241" t="n"/>
      <c r="J160" s="241" t="n"/>
      <c r="K160" s="241" t="n"/>
    </row>
    <row r="161" ht="21" customHeight="1" s="239">
      <c r="A161" s="228" t="n">
        <v>1</v>
      </c>
      <c r="B161" s="241" t="n"/>
      <c r="C161" s="241" t="n"/>
      <c r="D161" s="241" t="n"/>
      <c r="E161" s="241" t="n"/>
      <c r="F161" s="241" t="n"/>
      <c r="G161" s="241" t="n"/>
      <c r="H161" s="241" t="n"/>
      <c r="I161" s="241" t="n"/>
      <c r="J161" s="241" t="n"/>
      <c r="K161" s="241" t="n"/>
    </row>
    <row r="162" ht="21" customHeight="1" s="239">
      <c r="A162" s="159" t="inlineStr">
        <is>
          <t>Opening Inventory + Production</t>
        </is>
      </c>
      <c r="B162" s="241" t="n"/>
      <c r="C162" s="241" t="n"/>
      <c r="D162" s="241" t="n"/>
      <c r="E162" s="241" t="n"/>
      <c r="F162" s="241" t="n"/>
      <c r="G162" s="241" t="n"/>
      <c r="H162" s="241" t="n"/>
      <c r="I162" s="241" t="n"/>
      <c r="J162" s="241" t="n"/>
      <c r="K162" s="241" t="n"/>
    </row>
    <row r="163" ht="21" customHeight="1" s="239">
      <c r="A163" s="159" t="inlineStr">
        <is>
          <t>Show more lines</t>
        </is>
      </c>
      <c r="B163" s="241" t="n"/>
      <c r="C163" s="241" t="n"/>
      <c r="D163" s="241" t="n"/>
      <c r="E163" s="241" t="n"/>
      <c r="F163" s="241" t="n"/>
      <c r="G163" s="241" t="n"/>
      <c r="H163" s="241" t="n"/>
      <c r="I163" s="241" t="n"/>
      <c r="J163" s="241" t="n"/>
      <c r="K163" s="241" t="n"/>
    </row>
    <row r="164">
      <c r="A164" s="241" t="n"/>
      <c r="B164" s="241" t="n"/>
      <c r="C164" s="241" t="n"/>
      <c r="D164" s="241" t="n"/>
      <c r="E164" s="241" t="n"/>
      <c r="F164" s="241" t="n"/>
      <c r="G164" s="241" t="n"/>
      <c r="H164" s="241" t="n"/>
      <c r="I164" s="241" t="n"/>
      <c r="J164" s="241" t="n"/>
      <c r="K164" s="241" t="n"/>
    </row>
    <row r="165" ht="21" customHeight="1" s="239">
      <c r="A165" s="162" t="inlineStr">
        <is>
          <t>Feed Balance</t>
        </is>
      </c>
      <c r="B165" s="241" t="n"/>
      <c r="C165" s="241" t="n"/>
      <c r="D165" s="241" t="n"/>
      <c r="E165" s="241" t="n"/>
      <c r="F165" s="241" t="n"/>
      <c r="G165" s="241" t="n"/>
      <c r="H165" s="241" t="n"/>
      <c r="I165" s="241" t="n"/>
      <c r="J165" s="241" t="n"/>
      <c r="K165" s="241" t="n"/>
    </row>
    <row r="166">
      <c r="A166" s="241" t="n"/>
      <c r="B166" s="241" t="n"/>
      <c r="C166" s="241" t="n"/>
      <c r="D166" s="241" t="n"/>
      <c r="E166" s="241" t="n"/>
      <c r="F166" s="241" t="n"/>
      <c r="G166" s="241" t="n"/>
      <c r="H166" s="241" t="n"/>
      <c r="I166" s="241" t="n"/>
      <c r="J166" s="241" t="n"/>
      <c r="K166" s="241" t="n"/>
    </row>
    <row r="167" ht="21" customHeight="1" s="239">
      <c r="A167" s="159" t="inlineStr">
        <is>
          <t>Excel</t>
        </is>
      </c>
      <c r="B167" s="241" t="n"/>
      <c r="C167" s="241" t="n"/>
      <c r="D167" s="241" t="n"/>
      <c r="E167" s="241" t="n"/>
      <c r="F167" s="241" t="n"/>
      <c r="G167" s="241" t="n"/>
      <c r="H167" s="241" t="n"/>
      <c r="I167" s="241" t="n"/>
      <c r="J167" s="241" t="n"/>
      <c r="K167" s="241" t="n"/>
    </row>
    <row r="168" ht="21" customHeight="1" s="239">
      <c r="A168" s="228" t="n">
        <v>1</v>
      </c>
      <c r="B168" s="241" t="n"/>
      <c r="C168" s="241" t="n"/>
      <c r="D168" s="241" t="n"/>
      <c r="E168" s="241" t="n"/>
      <c r="F168" s="241" t="n"/>
      <c r="G168" s="241" t="n"/>
      <c r="H168" s="241" t="n"/>
      <c r="I168" s="241" t="n"/>
      <c r="J168" s="241" t="n"/>
      <c r="K168" s="241" t="n"/>
    </row>
    <row r="169" ht="21" customHeight="1" s="239">
      <c r="A169" s="159" t="inlineStr">
        <is>
          <t>Production</t>
        </is>
      </c>
      <c r="B169" s="241" t="n"/>
      <c r="C169" s="241" t="n"/>
      <c r="D169" s="241" t="n"/>
      <c r="E169" s="241" t="n"/>
      <c r="F169" s="241" t="n"/>
      <c r="G169" s="241" t="n"/>
      <c r="H169" s="241" t="n"/>
      <c r="I169" s="241" t="n"/>
      <c r="J169" s="241" t="n"/>
      <c r="K169" s="241" t="n"/>
    </row>
    <row r="170" ht="21" customHeight="1" s="239">
      <c r="A170" s="228" t="n">
        <v>2</v>
      </c>
      <c r="B170" s="241" t="n"/>
      <c r="C170" s="241" t="n"/>
      <c r="D170" s="241" t="n"/>
      <c r="E170" s="241" t="n"/>
      <c r="F170" s="241" t="n"/>
      <c r="G170" s="241" t="n"/>
      <c r="H170" s="241" t="n"/>
      <c r="I170" s="241" t="n"/>
      <c r="J170" s="241" t="n"/>
      <c r="K170" s="241" t="n"/>
    </row>
    <row r="171" ht="21" customHeight="1" s="239">
      <c r="A171" s="159" t="inlineStr">
        <is>
          <t>− Dairy Feed Demand</t>
        </is>
      </c>
      <c r="B171" s="241" t="n"/>
      <c r="C171" s="241" t="n"/>
      <c r="D171" s="241" t="n"/>
      <c r="E171" s="241" t="n"/>
      <c r="F171" s="241" t="n"/>
      <c r="G171" s="241" t="n"/>
      <c r="H171" s="241" t="n"/>
      <c r="I171" s="241" t="n"/>
      <c r="J171" s="241" t="n"/>
      <c r="K171" s="241" t="n"/>
    </row>
    <row r="172" ht="21" customHeight="1" s="239">
      <c r="A172" s="228" t="n">
        <v>3</v>
      </c>
      <c r="B172" s="241" t="n"/>
      <c r="C172" s="241" t="n"/>
      <c r="D172" s="241" t="n"/>
      <c r="E172" s="241" t="n"/>
      <c r="F172" s="241" t="n"/>
      <c r="G172" s="241" t="n"/>
      <c r="H172" s="241" t="n"/>
      <c r="I172" s="241" t="n"/>
      <c r="J172" s="241" t="n"/>
      <c r="K172" s="241" t="n"/>
    </row>
    <row r="173" ht="21" customHeight="1" s="239">
      <c r="A173" s="159" t="inlineStr">
        <is>
          <t>− Fattening Feed Demand</t>
        </is>
      </c>
      <c r="B173" s="241" t="n"/>
      <c r="C173" s="241" t="n"/>
      <c r="D173" s="241" t="n"/>
      <c r="E173" s="241" t="n"/>
      <c r="F173" s="241" t="n"/>
      <c r="G173" s="241" t="n"/>
      <c r="H173" s="241" t="n"/>
      <c r="I173" s="241" t="n"/>
      <c r="J173" s="241" t="n"/>
      <c r="K173" s="241" t="n"/>
    </row>
    <row r="174" ht="21" customHeight="1" s="239">
      <c r="A174" s="228" t="n">
        <v>4</v>
      </c>
      <c r="B174" s="241" t="n"/>
      <c r="C174" s="241" t="n"/>
      <c r="D174" s="241" t="n"/>
      <c r="E174" s="241" t="n"/>
      <c r="F174" s="241" t="n"/>
      <c r="G174" s="241" t="n"/>
      <c r="H174" s="241" t="n"/>
      <c r="I174" s="241" t="n"/>
      <c r="J174" s="241" t="n"/>
      <c r="K174" s="241" t="n"/>
    </row>
    <row r="175" ht="21" customHeight="1" s="239">
      <c r="A175" s="159" t="inlineStr">
        <is>
          <t>− External Sales</t>
        </is>
      </c>
      <c r="B175" s="241" t="n"/>
      <c r="C175" s="241" t="n"/>
      <c r="D175" s="241" t="n"/>
      <c r="E175" s="241" t="n"/>
      <c r="F175" s="241" t="n"/>
      <c r="G175" s="241" t="n"/>
      <c r="H175" s="241" t="n"/>
      <c r="I175" s="241" t="n"/>
      <c r="J175" s="241" t="n"/>
      <c r="K175" s="241" t="n"/>
    </row>
    <row r="176" ht="21" customHeight="1" s="239">
      <c r="A176" s="159" t="inlineStr">
        <is>
          <t>Show more lines</t>
        </is>
      </c>
      <c r="B176" s="241" t="n"/>
      <c r="C176" s="241" t="n"/>
      <c r="D176" s="241" t="n"/>
      <c r="E176" s="241" t="n"/>
      <c r="F176" s="241" t="n"/>
      <c r="G176" s="241" t="n"/>
      <c r="H176" s="241" t="n"/>
      <c r="I176" s="241" t="n"/>
      <c r="J176" s="241" t="n"/>
      <c r="K176" s="241" t="n"/>
    </row>
    <row r="177">
      <c r="A177" s="241" t="n"/>
      <c r="B177" s="241" t="n"/>
      <c r="C177" s="241" t="n"/>
      <c r="D177" s="241" t="n"/>
      <c r="E177" s="241" t="n"/>
      <c r="F177" s="241" t="n"/>
      <c r="G177" s="241" t="n"/>
      <c r="H177" s="241" t="n"/>
      <c r="I177" s="241" t="n"/>
      <c r="J177" s="241" t="n"/>
      <c r="K177" s="241" t="n"/>
    </row>
    <row r="178" ht="21" customHeight="1" s="239">
      <c r="A178" s="162" t="inlineStr">
        <is>
          <t>Feed Self-Sufficiency</t>
        </is>
      </c>
      <c r="B178" s="241" t="n"/>
      <c r="C178" s="241" t="n"/>
      <c r="D178" s="241" t="n"/>
      <c r="E178" s="241" t="n"/>
      <c r="F178" s="241" t="n"/>
      <c r="G178" s="241" t="n"/>
      <c r="H178" s="241" t="n"/>
      <c r="I178" s="241" t="n"/>
      <c r="J178" s="241" t="n"/>
      <c r="K178" s="241" t="n"/>
    </row>
    <row r="179">
      <c r="A179" s="241" t="n"/>
      <c r="B179" s="241" t="n"/>
      <c r="C179" s="241" t="n"/>
      <c r="D179" s="241" t="n"/>
      <c r="E179" s="241" t="n"/>
      <c r="F179" s="241" t="n"/>
      <c r="G179" s="241" t="n"/>
      <c r="H179" s="241" t="n"/>
      <c r="I179" s="241" t="n"/>
      <c r="J179" s="241" t="n"/>
      <c r="K179" s="241" t="n"/>
    </row>
    <row r="180" ht="21" customHeight="1" s="239">
      <c r="A180" s="159" t="inlineStr">
        <is>
          <t>Excel</t>
        </is>
      </c>
      <c r="B180" s="241" t="n"/>
      <c r="C180" s="241" t="n"/>
      <c r="D180" s="241" t="n"/>
      <c r="E180" s="241" t="n"/>
      <c r="F180" s="241" t="n"/>
      <c r="G180" s="241" t="n"/>
      <c r="H180" s="241" t="n"/>
      <c r="I180" s="241" t="n"/>
      <c r="J180" s="241" t="n"/>
      <c r="K180" s="241" t="n"/>
    </row>
    <row r="181" ht="21" customHeight="1" s="239">
      <c r="A181" s="228" t="n">
        <v>1</v>
      </c>
      <c r="B181" s="241" t="n"/>
      <c r="C181" s="241" t="n"/>
      <c r="D181" s="241" t="n"/>
      <c r="E181" s="241" t="n"/>
      <c r="F181" s="241" t="n"/>
      <c r="G181" s="241" t="n"/>
      <c r="H181" s="241" t="n"/>
      <c r="I181" s="241" t="n"/>
      <c r="J181" s="241" t="n"/>
      <c r="K181" s="241" t="n"/>
    </row>
    <row r="182" ht="21" customHeight="1" s="239">
      <c r="A182" s="159" t="inlineStr">
        <is>
          <t>Feed Production ÷ Total Feed Demand</t>
        </is>
      </c>
      <c r="B182" s="241" t="n"/>
      <c r="C182" s="241" t="n"/>
      <c r="D182" s="241" t="n"/>
      <c r="E182" s="241" t="n"/>
      <c r="F182" s="241" t="n"/>
      <c r="G182" s="241" t="n"/>
      <c r="H182" s="241" t="n"/>
      <c r="I182" s="241" t="n"/>
      <c r="J182" s="241" t="n"/>
      <c r="K182" s="241" t="n"/>
    </row>
    <row r="183" ht="21" customHeight="1" s="239">
      <c r="A183" s="159" t="inlineStr">
        <is>
          <t>Show more lines</t>
        </is>
      </c>
      <c r="B183" s="241" t="n"/>
      <c r="C183" s="241" t="n"/>
      <c r="D183" s="241" t="n"/>
      <c r="E183" s="241" t="n"/>
      <c r="F183" s="241" t="n"/>
      <c r="G183" s="241" t="n"/>
      <c r="H183" s="241" t="n"/>
      <c r="I183" s="241" t="n"/>
      <c r="J183" s="241" t="n"/>
      <c r="K183" s="241" t="n"/>
    </row>
    <row r="184">
      <c r="A184" s="241" t="n"/>
      <c r="B184" s="241" t="n"/>
      <c r="C184" s="241" t="n"/>
      <c r="D184" s="241" t="n"/>
      <c r="E184" s="241" t="n"/>
      <c r="F184" s="241" t="n"/>
      <c r="G184" s="241" t="n"/>
      <c r="H184" s="241" t="n"/>
      <c r="I184" s="241" t="n"/>
      <c r="J184" s="241" t="n"/>
      <c r="K184" s="241" t="n"/>
    </row>
    <row r="185" ht="21" customHeight="1" s="239">
      <c r="A185" s="159" t="inlineStr">
        <is>
          <t>Target:</t>
        </is>
      </c>
      <c r="B185" s="241" t="n"/>
      <c r="C185" s="241" t="n"/>
      <c r="D185" s="241" t="n"/>
      <c r="E185" s="241" t="n"/>
      <c r="F185" s="241" t="n"/>
      <c r="G185" s="241" t="n"/>
      <c r="H185" s="241" t="n"/>
      <c r="I185" s="241" t="n"/>
      <c r="J185" s="241" t="n"/>
      <c r="K185" s="241" t="n"/>
    </row>
    <row r="186">
      <c r="A186" s="241" t="n"/>
      <c r="B186" s="241" t="n"/>
      <c r="C186" s="241" t="n"/>
      <c r="D186" s="241" t="n"/>
      <c r="E186" s="241" t="n"/>
      <c r="F186" s="241" t="n"/>
      <c r="G186" s="241" t="n"/>
      <c r="H186" s="241" t="n"/>
      <c r="I186" s="241" t="n"/>
      <c r="J186" s="241" t="n"/>
      <c r="K186" s="241" t="n"/>
    </row>
    <row r="187" ht="21" customHeight="1" s="239">
      <c r="A187" s="228" t="n">
        <v>0.9</v>
      </c>
      <c r="B187" s="241" t="n"/>
      <c r="C187" s="241" t="n"/>
      <c r="D187" s="241" t="n"/>
      <c r="E187" s="241" t="n"/>
      <c r="F187" s="241" t="n"/>
      <c r="G187" s="241" t="n"/>
      <c r="H187" s="241" t="n"/>
      <c r="I187" s="241" t="n"/>
      <c r="J187" s="241" t="n"/>
      <c r="K187" s="241" t="n"/>
    </row>
    <row r="190">
      <c r="A190" s="265" t="inlineStr">
        <is>
          <t>Organic Fertilizer Schedule - Version 2</t>
        </is>
      </c>
    </row>
    <row r="191">
      <c r="A191" s="265" t="inlineStr">
        <is>
          <t>Line Item</t>
        </is>
      </c>
      <c r="B191" s="265" t="inlineStr">
        <is>
          <t>Y1</t>
        </is>
      </c>
      <c r="C191" s="265" t="inlineStr">
        <is>
          <t>Y2</t>
        </is>
      </c>
      <c r="D191" s="265" t="inlineStr">
        <is>
          <t>Y3</t>
        </is>
      </c>
      <c r="E191" s="265" t="inlineStr">
        <is>
          <t>Y4</t>
        </is>
      </c>
      <c r="F191" s="265" t="inlineStr">
        <is>
          <t>Y5</t>
        </is>
      </c>
      <c r="G191" s="265" t="inlineStr">
        <is>
          <t>Y6</t>
        </is>
      </c>
      <c r="H191" s="265" t="inlineStr">
        <is>
          <t>Y7</t>
        </is>
      </c>
      <c r="I191" s="265" t="inlineStr">
        <is>
          <t>Y8</t>
        </is>
      </c>
      <c r="J191" s="265" t="inlineStr">
        <is>
          <t>Y9</t>
        </is>
      </c>
      <c r="K191" s="265" t="inlineStr">
        <is>
          <t>Y10</t>
        </is>
      </c>
    </row>
    <row r="192">
      <c r="A192" s="394" t="inlineStr">
        <is>
          <t>Manure Received</t>
        </is>
      </c>
      <c r="B192">
        <f>IFERROR(DAIRY!B23+FATTENING!B43,"")</f>
        <v/>
      </c>
      <c r="C192">
        <f>IFERROR(DAIRY!C23+FATTENING!C43,"")</f>
        <v/>
      </c>
      <c r="D192">
        <f>IFERROR(DAIRY!D23+FATTENING!D43,"")</f>
        <v/>
      </c>
      <c r="E192">
        <f>IFERROR(DAIRY!E23+FATTENING!E43,"")</f>
        <v/>
      </c>
      <c r="F192">
        <f>IFERROR(DAIRY!F23+FATTENING!F43,"")</f>
        <v/>
      </c>
      <c r="G192">
        <f>IFERROR(DAIRY!G23+FATTENING!G43,"")</f>
        <v/>
      </c>
      <c r="H192">
        <f>IFERROR(DAIRY!H23+FATTENING!H43,"")</f>
        <v/>
      </c>
      <c r="I192">
        <f>IFERROR(DAIRY!I23+FATTENING!I43,"")</f>
        <v/>
      </c>
      <c r="J192">
        <f>IFERROR(DAIRY!J23+FATTENING!J43,"")</f>
        <v/>
      </c>
      <c r="K192">
        <f>IFERROR(DAIRY!K23+FATTENING!K43,"")</f>
        <v/>
      </c>
    </row>
    <row r="193">
      <c r="A193" s="394" t="inlineStr">
        <is>
          <t>Fertilizer Equivalent</t>
        </is>
      </c>
      <c r="B193">
        <f>IFERROR(B192*ASSUMPTIONS!$N$14,"")</f>
        <v/>
      </c>
      <c r="C193">
        <f>IFERROR(C192*ASSUMPTIONS!$N$14,"")</f>
        <v/>
      </c>
      <c r="D193">
        <f>IFERROR(D192*ASSUMPTIONS!$N$14,"")</f>
        <v/>
      </c>
      <c r="E193">
        <f>IFERROR(E192*ASSUMPTIONS!$N$14,"")</f>
        <v/>
      </c>
      <c r="F193">
        <f>IFERROR(F192*ASSUMPTIONS!$N$14,"")</f>
        <v/>
      </c>
      <c r="G193">
        <f>IFERROR(G192*ASSUMPTIONS!$N$14,"")</f>
        <v/>
      </c>
      <c r="H193">
        <f>IFERROR(H192*ASSUMPTIONS!$N$14,"")</f>
        <v/>
      </c>
      <c r="I193">
        <f>IFERROR(I192*ASSUMPTIONS!$N$14,"")</f>
        <v/>
      </c>
      <c r="J193">
        <f>IFERROR(J192*ASSUMPTIONS!$N$14,"")</f>
        <v/>
      </c>
      <c r="K193">
        <f>IFERROR(K192*ASSUMPTIONS!$N$14,"")</f>
        <v/>
      </c>
    </row>
    <row r="194">
      <c r="A194" s="394" t="inlineStr">
        <is>
          <t>Gross Fertilizer Requirement</t>
        </is>
      </c>
      <c r="B194">
        <f>IFERROR(B4*CAPEX_APPENDIX!$C$32,"")</f>
        <v/>
      </c>
      <c r="C194">
        <f>IFERROR(C4*CAPEX_APPENDIX!$C$32,"")</f>
        <v/>
      </c>
      <c r="D194">
        <f>IFERROR(D4*CAPEX_APPENDIX!$C$32,"")</f>
        <v/>
      </c>
      <c r="E194">
        <f>IFERROR(E4*CAPEX_APPENDIX!$C$32,"")</f>
        <v/>
      </c>
      <c r="F194">
        <f>IFERROR(F4*CAPEX_APPENDIX!$C$32,"")</f>
        <v/>
      </c>
      <c r="G194">
        <f>IFERROR(G4*CAPEX_APPENDIX!$C$32,"")</f>
        <v/>
      </c>
      <c r="H194">
        <f>IFERROR(H4*CAPEX_APPENDIX!$C$32,"")</f>
        <v/>
      </c>
      <c r="I194">
        <f>IFERROR(I4*CAPEX_APPENDIX!$C$32,"")</f>
        <v/>
      </c>
      <c r="J194">
        <f>IFERROR(J4*CAPEX_APPENDIX!$C$32,"")</f>
        <v/>
      </c>
      <c r="K194">
        <f>IFERROR(K4*CAPEX_APPENDIX!$C$32,"")</f>
        <v/>
      </c>
    </row>
    <row r="195">
      <c r="A195" s="393" t="inlineStr">
        <is>
          <t>Net Fertilizer Requirement</t>
        </is>
      </c>
      <c r="B195">
        <f>IFERROR(MAX(0,B194-B193),"")</f>
        <v/>
      </c>
      <c r="C195">
        <f>IFERROR(MAX(0,C194-C193),"")</f>
        <v/>
      </c>
      <c r="D195">
        <f>IFERROR(MAX(0,D194-D193),"")</f>
        <v/>
      </c>
      <c r="E195">
        <f>IFERROR(MAX(0,E194-E193),"")</f>
        <v/>
      </c>
      <c r="F195">
        <f>IFERROR(MAX(0,F194-F193),"")</f>
        <v/>
      </c>
      <c r="G195">
        <f>IFERROR(MAX(0,G194-G193),"")</f>
        <v/>
      </c>
      <c r="H195">
        <f>IFERROR(MAX(0,H194-H193),"")</f>
        <v/>
      </c>
      <c r="I195">
        <f>IFERROR(MAX(0,I194-I193),"")</f>
        <v/>
      </c>
      <c r="J195">
        <f>IFERROR(MAX(0,J194-J193),"")</f>
        <v/>
      </c>
      <c r="K195">
        <f>IFERROR(MAX(0,K194-K193),"")</f>
        <v/>
      </c>
    </row>
    <row r="196">
      <c r="A196" s="393" t="inlineStr">
        <is>
          <t>Fertilizer Savings</t>
        </is>
      </c>
      <c r="B196">
        <f>IFERROR(B194-B195,"")</f>
        <v/>
      </c>
      <c r="C196">
        <f>IFERROR(C194-C195,"")</f>
        <v/>
      </c>
      <c r="D196">
        <f>IFERROR(D194-D195,"")</f>
        <v/>
      </c>
      <c r="E196">
        <f>IFERROR(E194-E195,"")</f>
        <v/>
      </c>
      <c r="F196">
        <f>IFERROR(F194-F195,"")</f>
        <v/>
      </c>
      <c r="G196">
        <f>IFERROR(G194-G195,"")</f>
        <v/>
      </c>
      <c r="H196">
        <f>IFERROR(H194-H195,"")</f>
        <v/>
      </c>
      <c r="I196">
        <f>IFERROR(I194-I195,"")</f>
        <v/>
      </c>
      <c r="J196">
        <f>IFERROR(J194-J195,"")</f>
        <v/>
      </c>
      <c r="K196">
        <f>IFERROR(K194-K195,"")</f>
        <v/>
      </c>
    </row>
    <row r="197">
      <c r="A197" s="393" t="inlineStr">
        <is>
          <t>Net Fertilizer Purchase</t>
        </is>
      </c>
      <c r="B197">
        <f>IFERROR(B195,"")</f>
        <v/>
      </c>
      <c r="C197">
        <f>IFERROR(C195,"")</f>
        <v/>
      </c>
      <c r="D197">
        <f>IFERROR(D195,"")</f>
        <v/>
      </c>
      <c r="E197">
        <f>IFERROR(E195,"")</f>
        <v/>
      </c>
      <c r="F197">
        <f>IFERROR(F195,"")</f>
        <v/>
      </c>
      <c r="G197">
        <f>IFERROR(G195,"")</f>
        <v/>
      </c>
      <c r="H197">
        <f>IFERROR(H195,"")</f>
        <v/>
      </c>
      <c r="I197">
        <f>IFERROR(I195,"")</f>
        <v/>
      </c>
      <c r="J197">
        <f>IFERROR(J195,"")</f>
        <v/>
      </c>
      <c r="K197">
        <f>IFERROR(K195,"")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K2"/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0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K1"/>
    </sheetView>
  </sheetViews>
  <sheetFormatPr baseColWidth="10" defaultColWidth="8.83203125" defaultRowHeight="15"/>
  <cols>
    <col width="28" customWidth="1" style="239" min="1" max="1"/>
    <col width="14" customWidth="1" style="239" min="2" max="11"/>
  </cols>
  <sheetData>
    <row r="1">
      <c r="A1" s="252" t="inlineStr">
        <is>
          <t>Dairy Business Unit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1" t="n"/>
    </row>
    <row r="2">
      <c r="A2" s="249" t="inlineStr">
        <is>
          <t>Consolidated dairy production, milk/beef/manure/crop revenue, and operating linkage.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1" t="n"/>
    </row>
    <row r="3" ht="16" customHeight="1" s="239">
      <c r="A3" s="139" t="inlineStr">
        <is>
          <t>Line Item</t>
        </is>
      </c>
      <c r="B3" s="139" t="inlineStr">
        <is>
          <t>Y1</t>
        </is>
      </c>
      <c r="C3" s="139" t="inlineStr">
        <is>
          <t>Y2</t>
        </is>
      </c>
      <c r="D3" s="139" t="inlineStr">
        <is>
          <t>Y3</t>
        </is>
      </c>
      <c r="E3" s="139" t="inlineStr">
        <is>
          <t>Y4</t>
        </is>
      </c>
      <c r="F3" s="139" t="inlineStr">
        <is>
          <t>Y5</t>
        </is>
      </c>
      <c r="G3" s="139" t="inlineStr">
        <is>
          <t>Y6</t>
        </is>
      </c>
      <c r="H3" s="139" t="inlineStr">
        <is>
          <t>Y7</t>
        </is>
      </c>
      <c r="I3" s="139" t="inlineStr">
        <is>
          <t>Y8</t>
        </is>
      </c>
      <c r="J3" s="139" t="inlineStr">
        <is>
          <t>Y9</t>
        </is>
      </c>
      <c r="K3" s="139" t="inlineStr">
        <is>
          <t>Y10</t>
        </is>
      </c>
    </row>
    <row r="4" ht="16" customHeight="1" s="239">
      <c r="A4" s="241" t="inlineStr">
        <is>
          <t>Milk Liters</t>
        </is>
      </c>
      <c r="B4" s="217">
        <f>IFERROR(BALANCE_SHEET!E6,"")</f>
        <v/>
      </c>
      <c r="C4" s="217">
        <f>IFERROR(BALANCE_SHEET!E7,"")</f>
        <v/>
      </c>
      <c r="D4" s="217">
        <f>IFERROR(BALANCE_SHEET!E8,"")</f>
        <v/>
      </c>
      <c r="E4" s="217">
        <f>IFERROR(BALANCE_SHEET!E9,"")</f>
        <v/>
      </c>
      <c r="F4" s="217">
        <f>IFERROR(BALANCE_SHEET!E10,"")</f>
        <v/>
      </c>
      <c r="G4" s="217">
        <f>IFERROR(BALANCE_SHEET!E11,"")</f>
        <v/>
      </c>
      <c r="H4" s="217">
        <f>IFERROR(BALANCE_SHEET!E12,"")</f>
        <v/>
      </c>
      <c r="I4" s="217">
        <f>IFERROR(BALANCE_SHEET!E13,"")</f>
        <v/>
      </c>
      <c r="J4" s="217">
        <f>IFERROR(BALANCE_SHEET!E14,"")</f>
        <v/>
      </c>
      <c r="K4" s="217">
        <f>IFERROR(BALANCE_SHEET!E15,"")</f>
        <v/>
      </c>
    </row>
    <row r="5" ht="16" customHeight="1" s="239">
      <c r="A5" s="241" t="inlineStr">
        <is>
          <t>Milking Cows</t>
        </is>
      </c>
      <c r="B5" s="217">
        <f>IFERROR(BALANCE_SHEET!D6,"")</f>
        <v/>
      </c>
      <c r="C5" s="217">
        <f>IFERROR(BALANCE_SHEET!D7,"")</f>
        <v/>
      </c>
      <c r="D5" s="217">
        <f>IFERROR(BALANCE_SHEET!D8,"")</f>
        <v/>
      </c>
      <c r="E5" s="217">
        <f>IFERROR(BALANCE_SHEET!D9,"")</f>
        <v/>
      </c>
      <c r="F5" s="217">
        <f>IFERROR(BALANCE_SHEET!D10,"")</f>
        <v/>
      </c>
      <c r="G5" s="217">
        <f>IFERROR(BALANCE_SHEET!D11,"")</f>
        <v/>
      </c>
      <c r="H5" s="217">
        <f>IFERROR(BALANCE_SHEET!D12,"")</f>
        <v/>
      </c>
      <c r="I5" s="217">
        <f>IFERROR(BALANCE_SHEET!D13,"")</f>
        <v/>
      </c>
      <c r="J5" s="217">
        <f>IFERROR(BALANCE_SHEET!D14,"")</f>
        <v/>
      </c>
      <c r="K5" s="217">
        <f>IFERROR(BALANCE_SHEET!D15,"")</f>
        <v/>
      </c>
    </row>
    <row r="6" ht="16" customHeight="1" s="239">
      <c r="A6" s="241" t="inlineStr">
        <is>
          <t>Beef Kg / Cull Output</t>
        </is>
      </c>
      <c r="B6" s="217">
        <f>IFERROR(BALANCE_SHEET!F6,"")</f>
        <v/>
      </c>
      <c r="C6" s="217">
        <f>IFERROR(BALANCE_SHEET!F7,"")</f>
        <v/>
      </c>
      <c r="D6" s="217">
        <f>IFERROR(BALANCE_SHEET!F8,"")</f>
        <v/>
      </c>
      <c r="E6" s="217">
        <f>IFERROR(BALANCE_SHEET!F9,"")</f>
        <v/>
      </c>
      <c r="F6" s="217">
        <f>IFERROR(BALANCE_SHEET!F10,"")</f>
        <v/>
      </c>
      <c r="G6" s="217">
        <f>IFERROR(BALANCE_SHEET!F11,"")</f>
        <v/>
      </c>
      <c r="H6" s="217">
        <f>IFERROR(BALANCE_SHEET!F12,"")</f>
        <v/>
      </c>
      <c r="I6" s="217">
        <f>IFERROR(BALANCE_SHEET!F13,"")</f>
        <v/>
      </c>
      <c r="J6" s="217">
        <f>IFERROR(BALANCE_SHEET!F14,"")</f>
        <v/>
      </c>
      <c r="K6" s="217">
        <f>IFERROR(BALANCE_SHEET!F15,"")</f>
        <v/>
      </c>
    </row>
    <row r="7" ht="16" customHeight="1" s="239">
      <c r="A7" s="241" t="inlineStr">
        <is>
          <t>Manure Bags</t>
        </is>
      </c>
      <c r="B7" s="217">
        <f>IFERROR(BALANCE_SHEET!G6,"")</f>
        <v/>
      </c>
      <c r="C7" s="217">
        <f>IFERROR(BALANCE_SHEET!G7,"")</f>
        <v/>
      </c>
      <c r="D7" s="217">
        <f>IFERROR(BALANCE_SHEET!G8,"")</f>
        <v/>
      </c>
      <c r="E7" s="217">
        <f>IFERROR(BALANCE_SHEET!G9,"")</f>
        <v/>
      </c>
      <c r="F7" s="217">
        <f>IFERROR(BALANCE_SHEET!G10,"")</f>
        <v/>
      </c>
      <c r="G7" s="217">
        <f>IFERROR(BALANCE_SHEET!G11,"")</f>
        <v/>
      </c>
      <c r="H7" s="217">
        <f>IFERROR(BALANCE_SHEET!G12,"")</f>
        <v/>
      </c>
      <c r="I7" s="217">
        <f>IFERROR(BALANCE_SHEET!G13,"")</f>
        <v/>
      </c>
      <c r="J7" s="217">
        <f>IFERROR(BALANCE_SHEET!G14,"")</f>
        <v/>
      </c>
      <c r="K7" s="217">
        <f>IFERROR(BALANCE_SHEET!G15,"")</f>
        <v/>
      </c>
    </row>
    <row r="8" ht="16" customHeight="1" s="239">
      <c r="A8" s="241" t="inlineStr">
        <is>
          <t>Crop Acres</t>
        </is>
      </c>
      <c r="B8" s="217">
        <f>IFERROR(BALANCE_SHEET!I6,"")</f>
        <v/>
      </c>
      <c r="C8" s="217">
        <f>IFERROR(BALANCE_SHEET!I7,"")</f>
        <v/>
      </c>
      <c r="D8" s="217">
        <f>IFERROR(BALANCE_SHEET!I8,"")</f>
        <v/>
      </c>
      <c r="E8" s="217">
        <f>IFERROR(BALANCE_SHEET!I9,"")</f>
        <v/>
      </c>
      <c r="F8" s="217">
        <f>IFERROR(BALANCE_SHEET!I10,"")</f>
        <v/>
      </c>
      <c r="G8" s="217">
        <f>IFERROR(BALANCE_SHEET!I11,"")</f>
        <v/>
      </c>
      <c r="H8" s="217">
        <f>IFERROR(BALANCE_SHEET!I12,"")</f>
        <v/>
      </c>
      <c r="I8" s="217">
        <f>IFERROR(BALANCE_SHEET!I13,"")</f>
        <v/>
      </c>
      <c r="J8" s="217">
        <f>IFERROR(BALANCE_SHEET!I14,"")</f>
        <v/>
      </c>
      <c r="K8" s="217">
        <f>IFERROR(BALANCE_SHEET!I15,"")</f>
        <v/>
      </c>
    </row>
    <row r="9" ht="16" customHeight="1" s="239">
      <c r="A9" s="241" t="inlineStr">
        <is>
          <t>Milk Revenue</t>
        </is>
      </c>
      <c r="B9" s="217">
        <f>IFERROR(BALANCE_SHEET!B32,"")</f>
        <v/>
      </c>
      <c r="C9" s="217">
        <f>IFERROR(BALANCE_SHEET!C32,"")</f>
        <v/>
      </c>
      <c r="D9" s="217">
        <f>IFERROR(BALANCE_SHEET!D32,"")</f>
        <v/>
      </c>
      <c r="E9" s="217">
        <f>IFERROR(BALANCE_SHEET!E32,"")</f>
        <v/>
      </c>
      <c r="F9" s="217">
        <f>IFERROR(BALANCE_SHEET!F32,"")</f>
        <v/>
      </c>
      <c r="G9" s="217">
        <f>IFERROR(BALANCE_SHEET!G32,"")</f>
        <v/>
      </c>
      <c r="H9" s="217">
        <f>IFERROR(BALANCE_SHEET!H32,"")</f>
        <v/>
      </c>
      <c r="I9" s="217">
        <f>IFERROR(BALANCE_SHEET!I32,"")</f>
        <v/>
      </c>
      <c r="J9" s="217">
        <f>IFERROR(BALANCE_SHEET!J32,"")</f>
        <v/>
      </c>
      <c r="K9" s="217">
        <f>IFERROR(BALANCE_SHEET!K32,"")</f>
        <v/>
      </c>
    </row>
    <row r="10" ht="16" customHeight="1" s="239">
      <c r="A10" s="241" t="inlineStr">
        <is>
          <t>Beef / Cull Revenue</t>
        </is>
      </c>
      <c r="B10" s="217">
        <f>IFERROR(BALANCE_SHEET!B33,"")</f>
        <v/>
      </c>
      <c r="C10" s="217">
        <f>IFERROR(BALANCE_SHEET!C33,"")</f>
        <v/>
      </c>
      <c r="D10" s="217">
        <f>IFERROR(BALANCE_SHEET!D33,"")</f>
        <v/>
      </c>
      <c r="E10" s="217">
        <f>IFERROR(BALANCE_SHEET!E33,"")</f>
        <v/>
      </c>
      <c r="F10" s="217">
        <f>IFERROR(BALANCE_SHEET!F33,"")</f>
        <v/>
      </c>
      <c r="G10" s="217">
        <f>IFERROR(BALANCE_SHEET!G33,"")</f>
        <v/>
      </c>
      <c r="H10" s="217">
        <f>IFERROR(BALANCE_SHEET!H33,"")</f>
        <v/>
      </c>
      <c r="I10" s="217">
        <f>IFERROR(BALANCE_SHEET!I33,"")</f>
        <v/>
      </c>
      <c r="J10" s="217">
        <f>IFERROR(BALANCE_SHEET!J33,"")</f>
        <v/>
      </c>
      <c r="K10" s="217">
        <f>IFERROR(BALANCE_SHEET!K33,"")</f>
        <v/>
      </c>
    </row>
    <row r="11" ht="16" customHeight="1" s="239">
      <c r="A11" s="241" t="inlineStr">
        <is>
          <t>Manure Revenue</t>
        </is>
      </c>
      <c r="B11" s="217">
        <f>IFERROR(BALANCE_SHEET!B34,"")</f>
        <v/>
      </c>
      <c r="C11" s="217">
        <f>IFERROR(BALANCE_SHEET!C34,"")</f>
        <v/>
      </c>
      <c r="D11" s="217">
        <f>IFERROR(BALANCE_SHEET!D34,"")</f>
        <v/>
      </c>
      <c r="E11" s="217">
        <f>IFERROR(BALANCE_SHEET!E34,"")</f>
        <v/>
      </c>
      <c r="F11" s="217">
        <f>IFERROR(BALANCE_SHEET!F34,"")</f>
        <v/>
      </c>
      <c r="G11" s="217">
        <f>IFERROR(BALANCE_SHEET!G34,"")</f>
        <v/>
      </c>
      <c r="H11" s="217">
        <f>IFERROR(BALANCE_SHEET!H34,"")</f>
        <v/>
      </c>
      <c r="I11" s="217">
        <f>IFERROR(BALANCE_SHEET!I34,"")</f>
        <v/>
      </c>
      <c r="J11" s="217">
        <f>IFERROR(BALANCE_SHEET!J34,"")</f>
        <v/>
      </c>
      <c r="K11" s="217">
        <f>IFERROR(BALANCE_SHEET!K34,"")</f>
        <v/>
      </c>
    </row>
    <row r="12" ht="16" customHeight="1" s="239">
      <c r="A12" s="241" t="inlineStr">
        <is>
          <t>Crop Revenue</t>
        </is>
      </c>
      <c r="B12" s="217">
        <f>IFERROR(BALANCE_SHEET!B35,"")</f>
        <v/>
      </c>
      <c r="C12" s="217">
        <f>IFERROR(BALANCE_SHEET!C35,"")</f>
        <v/>
      </c>
      <c r="D12" s="217">
        <f>IFERROR(BALANCE_SHEET!D35,"")</f>
        <v/>
      </c>
      <c r="E12" s="217">
        <f>IFERROR(BALANCE_SHEET!E35,"")</f>
        <v/>
      </c>
      <c r="F12" s="217">
        <f>IFERROR(BALANCE_SHEET!F35,"")</f>
        <v/>
      </c>
      <c r="G12" s="217">
        <f>IFERROR(BALANCE_SHEET!G35,"")</f>
        <v/>
      </c>
      <c r="H12" s="217">
        <f>IFERROR(BALANCE_SHEET!H35,"")</f>
        <v/>
      </c>
      <c r="I12" s="217">
        <f>IFERROR(BALANCE_SHEET!I35,"")</f>
        <v/>
      </c>
      <c r="J12" s="217">
        <f>IFERROR(BALANCE_SHEET!J35,"")</f>
        <v/>
      </c>
      <c r="K12" s="217">
        <f>IFERROR(BALANCE_SHEET!K35,"")</f>
        <v/>
      </c>
    </row>
    <row r="13" ht="16" customHeight="1" s="239">
      <c r="A13" s="151" t="inlineStr">
        <is>
          <t>Total Dairy Revenue</t>
        </is>
      </c>
      <c r="B13" s="219">
        <f>IFERROR(SUM(B9:B12),"")</f>
        <v/>
      </c>
      <c r="C13" s="219">
        <f>IFERROR(SUM(C9:C12),"")</f>
        <v/>
      </c>
      <c r="D13" s="219">
        <f>IFERROR(SUM(D9:D12),"")</f>
        <v/>
      </c>
      <c r="E13" s="219">
        <f>IFERROR(SUM(E9:E12),"")</f>
        <v/>
      </c>
      <c r="F13" s="219">
        <f>IFERROR(SUM(F9:F12),"")</f>
        <v/>
      </c>
      <c r="G13" s="219">
        <f>IFERROR(SUM(G9:G12),"")</f>
        <v/>
      </c>
      <c r="H13" s="219">
        <f>IFERROR(SUM(H9:H12),"")</f>
        <v/>
      </c>
      <c r="I13" s="219">
        <f>IFERROR(SUM(I9:I12),"")</f>
        <v/>
      </c>
      <c r="J13" s="219">
        <f>IFERROR(SUM(J9:J12),"")</f>
        <v/>
      </c>
      <c r="K13" s="219">
        <f>IFERROR(SUM(K9:K12),"")</f>
        <v/>
      </c>
    </row>
    <row r="14" ht="16" customHeight="1" s="239">
      <c r="A14" s="241" t="inlineStr">
        <is>
          <t>Allocated Dairy OPEX</t>
        </is>
      </c>
      <c r="B14" s="217">
        <f>IFERROR(SUM(OPEX!B4:B14)*70%,"")</f>
        <v/>
      </c>
      <c r="C14" s="217">
        <f>IFERROR(SUM(OPEX!C4:C14)*70%,"")</f>
        <v/>
      </c>
      <c r="D14" s="217">
        <f>IFERROR(SUM(OPEX!D4:D14)*70%,"")</f>
        <v/>
      </c>
      <c r="E14" s="217">
        <f>IFERROR(SUM(OPEX!E4:E14)*70%,"")</f>
        <v/>
      </c>
      <c r="F14" s="217">
        <f>IFERROR(SUM(OPEX!F4:F14)*70%,"")</f>
        <v/>
      </c>
      <c r="G14" s="217">
        <f>IFERROR(SUM(OPEX!G4:G14)*70%,"")</f>
        <v/>
      </c>
      <c r="H14" s="217">
        <f>IFERROR(SUM(OPEX!H4:H14)*70%,"")</f>
        <v/>
      </c>
      <c r="I14" s="217">
        <f>IFERROR(SUM(OPEX!I4:I14)*70%,"")</f>
        <v/>
      </c>
      <c r="J14" s="217">
        <f>IFERROR(SUM(OPEX!J4:J14)*70%,"")</f>
        <v/>
      </c>
      <c r="K14" s="217">
        <f>IFERROR(SUM(OPEX!K4:K14)*70%,"")</f>
        <v/>
      </c>
    </row>
    <row r="15" ht="16" customHeight="1" s="239">
      <c r="A15" s="151" t="inlineStr">
        <is>
          <t>Dairy EBITDA</t>
        </is>
      </c>
      <c r="B15" s="219">
        <f>IFERROR(B13-B14,"")</f>
        <v/>
      </c>
      <c r="C15" s="219">
        <f>IFERROR(C13-C14,"")</f>
        <v/>
      </c>
      <c r="D15" s="219">
        <f>IFERROR(D13-D14,"")</f>
        <v/>
      </c>
      <c r="E15" s="219">
        <f>IFERROR(E13-E14,"")</f>
        <v/>
      </c>
      <c r="F15" s="219">
        <f>IFERROR(F13-F14,"")</f>
        <v/>
      </c>
      <c r="G15" s="219">
        <f>IFERROR(G13-G14,"")</f>
        <v/>
      </c>
      <c r="H15" s="219">
        <f>IFERROR(H13-H14,"")</f>
        <v/>
      </c>
      <c r="I15" s="219">
        <f>IFERROR(I13-I14,"")</f>
        <v/>
      </c>
      <c r="J15" s="219">
        <f>IFERROR(J13-J14,"")</f>
        <v/>
      </c>
      <c r="K15" s="219">
        <f>IFERROR(K13-K14,"")</f>
        <v/>
      </c>
    </row>
    <row r="16" ht="16" customHeight="1" s="239">
      <c r="A16" s="151" t="inlineStr">
        <is>
          <t>Dairy CFADS proxy</t>
        </is>
      </c>
      <c r="B16" s="219">
        <f>IFERROR(PNL!B22*70%*70%,"")</f>
        <v/>
      </c>
      <c r="C16" s="219">
        <f>IFERROR(PNL!C22*70%*70%,"")</f>
        <v/>
      </c>
      <c r="D16" s="219">
        <f>IFERROR(PNL!D22*70%*70%,"")</f>
        <v/>
      </c>
      <c r="E16" s="219">
        <f>IFERROR(PNL!E22*70%*70%,"")</f>
        <v/>
      </c>
      <c r="F16" s="219">
        <f>IFERROR(PNL!F22*70%*70%,"")</f>
        <v/>
      </c>
      <c r="G16" s="219">
        <f>IFERROR(PNL!G22*70%*70%,"")</f>
        <v/>
      </c>
      <c r="H16" s="219">
        <f>IFERROR(PNL!H22*70%*70%,"")</f>
        <v/>
      </c>
      <c r="I16" s="219">
        <f>IFERROR(PNL!I22*70%*70%,"")</f>
        <v/>
      </c>
      <c r="J16" s="219">
        <f>IFERROR(PNL!J22*70%*70%,"")</f>
        <v/>
      </c>
      <c r="K16" s="219">
        <f>IFERROR(PNL!K22*70%*70%,"")</f>
        <v/>
      </c>
    </row>
    <row r="20">
      <c r="A20" s="265" t="inlineStr">
        <is>
          <t>Manure Schedule - Version 2 Circular Economy</t>
        </is>
      </c>
    </row>
    <row r="21">
      <c r="A21" s="265" t="inlineStr">
        <is>
          <t>Line Item</t>
        </is>
      </c>
      <c r="B21" s="265" t="inlineStr">
        <is>
          <t>Y1</t>
        </is>
      </c>
      <c r="C21" s="265" t="inlineStr">
        <is>
          <t>Y2</t>
        </is>
      </c>
      <c r="D21" s="265" t="inlineStr">
        <is>
          <t>Y3</t>
        </is>
      </c>
      <c r="E21" s="265" t="inlineStr">
        <is>
          <t>Y4</t>
        </is>
      </c>
      <c r="F21" s="265" t="inlineStr">
        <is>
          <t>Y5</t>
        </is>
      </c>
      <c r="G21" s="265" t="inlineStr">
        <is>
          <t>Y6</t>
        </is>
      </c>
      <c r="H21" s="265" t="inlineStr">
        <is>
          <t>Y7</t>
        </is>
      </c>
      <c r="I21" s="265" t="inlineStr">
        <is>
          <t>Y8</t>
        </is>
      </c>
      <c r="J21" s="265" t="inlineStr">
        <is>
          <t>Y9</t>
        </is>
      </c>
      <c r="K21" s="265" t="inlineStr">
        <is>
          <t>Y10</t>
        </is>
      </c>
    </row>
    <row r="22">
      <c r="A22" s="394" t="inlineStr">
        <is>
          <t>Manure Produced</t>
        </is>
      </c>
      <c r="B22">
        <f>IFERROR(B7,"")</f>
        <v/>
      </c>
      <c r="C22">
        <f>IFERROR(C7,"")</f>
        <v/>
      </c>
      <c r="D22">
        <f>IFERROR(D7,"")</f>
        <v/>
      </c>
      <c r="E22">
        <f>IFERROR(E7,"")</f>
        <v/>
      </c>
      <c r="F22">
        <f>IFERROR(F7,"")</f>
        <v/>
      </c>
      <c r="G22">
        <f>IFERROR(G7,"")</f>
        <v/>
      </c>
      <c r="H22">
        <f>IFERROR(H7,"")</f>
        <v/>
      </c>
      <c r="I22">
        <f>IFERROR(I7,"")</f>
        <v/>
      </c>
      <c r="J22">
        <f>IFERROR(J7,"")</f>
        <v/>
      </c>
      <c r="K22">
        <f>IFERROR(K7,"")</f>
        <v/>
      </c>
    </row>
    <row r="23">
      <c r="A23" s="394" t="inlineStr">
        <is>
          <t>Feed Farm Transfer</t>
        </is>
      </c>
      <c r="B23">
        <f>IFERROR(B22*ASSUMPTIONS!$N$12,"")</f>
        <v/>
      </c>
      <c r="C23">
        <f>IFERROR(C22*ASSUMPTIONS!$N$12,"")</f>
        <v/>
      </c>
      <c r="D23">
        <f>IFERROR(D22*ASSUMPTIONS!$N$12,"")</f>
        <v/>
      </c>
      <c r="E23">
        <f>IFERROR(E22*ASSUMPTIONS!$N$12,"")</f>
        <v/>
      </c>
      <c r="F23">
        <f>IFERROR(F22*ASSUMPTIONS!$N$12,"")</f>
        <v/>
      </c>
      <c r="G23">
        <f>IFERROR(G22*ASSUMPTIONS!$N$12,"")</f>
        <v/>
      </c>
      <c r="H23">
        <f>IFERROR(H22*ASSUMPTIONS!$N$12,"")</f>
        <v/>
      </c>
      <c r="I23">
        <f>IFERROR(I22*ASSUMPTIONS!$N$12,"")</f>
        <v/>
      </c>
      <c r="J23">
        <f>IFERROR(J22*ASSUMPTIONS!$N$12,"")</f>
        <v/>
      </c>
      <c r="K23">
        <f>IFERROR(K22*ASSUMPTIONS!$N$12,"")</f>
        <v/>
      </c>
    </row>
    <row r="24">
      <c r="A24" s="394" t="inlineStr">
        <is>
          <t>Remaining After Feed Farm</t>
        </is>
      </c>
      <c r="B24">
        <f>IFERROR(B22-B23,"")</f>
        <v/>
      </c>
      <c r="C24">
        <f>IFERROR(C22-C23,"")</f>
        <v/>
      </c>
      <c r="D24">
        <f>IFERROR(D22-D23,"")</f>
        <v/>
      </c>
      <c r="E24">
        <f>IFERROR(E22-E23,"")</f>
        <v/>
      </c>
      <c r="F24">
        <f>IFERROR(F22-F23,"")</f>
        <v/>
      </c>
      <c r="G24">
        <f>IFERROR(G22-G23,"")</f>
        <v/>
      </c>
      <c r="H24">
        <f>IFERROR(H22-H23,"")</f>
        <v/>
      </c>
      <c r="I24">
        <f>IFERROR(I22-I23,"")</f>
        <v/>
      </c>
      <c r="J24">
        <f>IFERROR(J22-J23,"")</f>
        <v/>
      </c>
      <c r="K24">
        <f>IFERROR(K22-K23,"")</f>
        <v/>
      </c>
    </row>
    <row r="25">
      <c r="A25" s="394" t="inlineStr">
        <is>
          <t>Biodigester Allocation</t>
        </is>
      </c>
      <c r="B25">
        <f>IFERROR(MIN(B24,ASSUMPTIONS!$N$13*IF((B22+FATTENING!B42)=0,0,B22/(B22+FATTENING!B42))),"")</f>
        <v/>
      </c>
      <c r="C25">
        <f>IFERROR(MIN(C24,ASSUMPTIONS!$N$13*IF((C22+FATTENING!C42)=0,0,C22/(C22+FATTENING!C42))),"")</f>
        <v/>
      </c>
      <c r="D25">
        <f>IFERROR(MIN(D24,ASSUMPTIONS!$N$13*IF((D22+FATTENING!D42)=0,0,D22/(D22+FATTENING!D42))),"")</f>
        <v/>
      </c>
      <c r="E25">
        <f>IFERROR(MIN(E24,ASSUMPTIONS!$N$13*IF((E22+FATTENING!E42)=0,0,E22/(E22+FATTENING!E42))),"")</f>
        <v/>
      </c>
      <c r="F25">
        <f>IFERROR(MIN(F24,ASSUMPTIONS!$N$13*IF((F22+FATTENING!F42)=0,0,F22/(F22+FATTENING!F42))),"")</f>
        <v/>
      </c>
      <c r="G25">
        <f>IFERROR(MIN(G24,ASSUMPTIONS!$N$13*IF((G22+FATTENING!G42)=0,0,G22/(G22+FATTENING!G42))),"")</f>
        <v/>
      </c>
      <c r="H25">
        <f>IFERROR(MIN(H24,ASSUMPTIONS!$N$13*IF((H22+FATTENING!H42)=0,0,H22/(H22+FATTENING!H42))),"")</f>
        <v/>
      </c>
      <c r="I25">
        <f>IFERROR(MIN(I24,ASSUMPTIONS!$N$13*IF((I22+FATTENING!I42)=0,0,I22/(I22+FATTENING!I42))),"")</f>
        <v/>
      </c>
      <c r="J25">
        <f>IFERROR(MIN(J24,ASSUMPTIONS!$N$13*IF((J22+FATTENING!J42)=0,0,J22/(J22+FATTENING!J42))),"")</f>
        <v/>
      </c>
      <c r="K25">
        <f>IFERROR(MIN(K24,ASSUMPTIONS!$N$13*IF((K22+FATTENING!K42)=0,0,K22/(K22+FATTENING!K42))),"")</f>
        <v/>
      </c>
    </row>
    <row r="26">
      <c r="A26" s="394" t="inlineStr">
        <is>
          <t>External Sales</t>
        </is>
      </c>
      <c r="B26">
        <f>IFERROR(MAX(0,B22-B23-B25),"")</f>
        <v/>
      </c>
      <c r="C26">
        <f>IFERROR(MAX(0,C22-C23-C25),"")</f>
        <v/>
      </c>
      <c r="D26">
        <f>IFERROR(MAX(0,D22-D23-D25),"")</f>
        <v/>
      </c>
      <c r="E26">
        <f>IFERROR(MAX(0,E22-E23-E25),"")</f>
        <v/>
      </c>
      <c r="F26">
        <f>IFERROR(MAX(0,F22-F23-F25),"")</f>
        <v/>
      </c>
      <c r="G26">
        <f>IFERROR(MAX(0,G22-G23-G25),"")</f>
        <v/>
      </c>
      <c r="H26">
        <f>IFERROR(MAX(0,H22-H23-H25),"")</f>
        <v/>
      </c>
      <c r="I26">
        <f>IFERROR(MAX(0,I22-I23-I25),"")</f>
        <v/>
      </c>
      <c r="J26">
        <f>IFERROR(MAX(0,J22-J23-J25),"")</f>
        <v/>
      </c>
      <c r="K26">
        <f>IFERROR(MAX(0,K22-K23-K25),"")</f>
        <v/>
      </c>
    </row>
    <row r="27">
      <c r="A27" s="394" t="inlineStr">
        <is>
          <t>External Manure Revenue</t>
        </is>
      </c>
      <c r="B27">
        <f>IFERROR(B26*ASSUMPTIONS!$N$14,"")</f>
        <v/>
      </c>
      <c r="C27">
        <f>IFERROR(C26*ASSUMPTIONS!$N$14,"")</f>
        <v/>
      </c>
      <c r="D27">
        <f>IFERROR(D26*ASSUMPTIONS!$N$14,"")</f>
        <v/>
      </c>
      <c r="E27">
        <f>IFERROR(E26*ASSUMPTIONS!$N$14,"")</f>
        <v/>
      </c>
      <c r="F27">
        <f>IFERROR(F26*ASSUMPTIONS!$N$14,"")</f>
        <v/>
      </c>
      <c r="G27">
        <f>IFERROR(G26*ASSUMPTIONS!$N$14,"")</f>
        <v/>
      </c>
      <c r="H27">
        <f>IFERROR(H26*ASSUMPTIONS!$N$14,"")</f>
        <v/>
      </c>
      <c r="I27">
        <f>IFERROR(I26*ASSUMPTIONS!$N$14,"")</f>
        <v/>
      </c>
      <c r="J27">
        <f>IFERROR(J26*ASSUMPTIONS!$N$14,"")</f>
        <v/>
      </c>
      <c r="K27">
        <f>IFERROR(K26*ASSUMPTIONS!$N$14,"")</f>
        <v/>
      </c>
    </row>
    <row r="28">
      <c r="A28" s="394" t="inlineStr">
        <is>
          <t>Fertilizer Economic Benefit</t>
        </is>
      </c>
      <c r="B28">
        <f>IFERROR(FEED_FARM!B196*(B23/MAX(1,FEED_FARM!B192)),"")</f>
        <v/>
      </c>
      <c r="C28">
        <f>IFERROR(FEED_FARM!C196*(C23/MAX(1,FEED_FARM!C192)),"")</f>
        <v/>
      </c>
      <c r="D28">
        <f>IFERROR(FEED_FARM!D196*(D23/MAX(1,FEED_FARM!D192)),"")</f>
        <v/>
      </c>
      <c r="E28">
        <f>IFERROR(FEED_FARM!E196*(E23/MAX(1,FEED_FARM!E192)),"")</f>
        <v/>
      </c>
      <c r="F28">
        <f>IFERROR(FEED_FARM!F196*(F23/MAX(1,FEED_FARM!F192)),"")</f>
        <v/>
      </c>
      <c r="G28">
        <f>IFERROR(FEED_FARM!G196*(G23/MAX(1,FEED_FARM!G192)),"")</f>
        <v/>
      </c>
      <c r="H28">
        <f>IFERROR(FEED_FARM!H196*(H23/MAX(1,FEED_FARM!H192)),"")</f>
        <v/>
      </c>
      <c r="I28">
        <f>IFERROR(FEED_FARM!I196*(I23/MAX(1,FEED_FARM!I192)),"")</f>
        <v/>
      </c>
      <c r="J28">
        <f>IFERROR(FEED_FARM!J196*(J23/MAX(1,FEED_FARM!J192)),"")</f>
        <v/>
      </c>
      <c r="K28">
        <f>IFERROR(FEED_FARM!K196*(K23/MAX(1,FEED_FARM!K192)),"")</f>
        <v/>
      </c>
    </row>
    <row r="29">
      <c r="A29" s="394" t="inlineStr">
        <is>
          <t>Biogas Economic Benefit</t>
        </is>
      </c>
      <c r="B29">
        <f>IFERROR((OPEX!B35+OPEX!B36+OPEX!B37)*(B25/MAX(1,B25+FATTENING!B45)),"")</f>
        <v/>
      </c>
      <c r="C29">
        <f>IFERROR((OPEX!C35+OPEX!C36+OPEX!C37)*(C25/MAX(1,C25+FATTENING!C45)),"")</f>
        <v/>
      </c>
      <c r="D29">
        <f>IFERROR((OPEX!D35+OPEX!D36+OPEX!D37)*(D25/MAX(1,D25+FATTENING!D45)),"")</f>
        <v/>
      </c>
      <c r="E29">
        <f>IFERROR((OPEX!E35+OPEX!E36+OPEX!E37)*(E25/MAX(1,E25+FATTENING!E45)),"")</f>
        <v/>
      </c>
      <c r="F29">
        <f>IFERROR((OPEX!F35+OPEX!F36+OPEX!F37)*(F25/MAX(1,F25+FATTENING!F45)),"")</f>
        <v/>
      </c>
      <c r="G29">
        <f>IFERROR((OPEX!G35+OPEX!G36+OPEX!G37)*(G25/MAX(1,G25+FATTENING!G45)),"")</f>
        <v/>
      </c>
      <c r="H29">
        <f>IFERROR((OPEX!H35+OPEX!H36+OPEX!H37)*(H25/MAX(1,H25+FATTENING!H45)),"")</f>
        <v/>
      </c>
      <c r="I29">
        <f>IFERROR((OPEX!I35+OPEX!I36+OPEX!I37)*(I25/MAX(1,I25+FATTENING!I45)),"")</f>
        <v/>
      </c>
      <c r="J29">
        <f>IFERROR((OPEX!J35+OPEX!J36+OPEX!J37)*(J25/MAX(1,J25+FATTENING!J45)),"")</f>
        <v/>
      </c>
      <c r="K29">
        <f>IFERROR((OPEX!K35+OPEX!K36+OPEX!K37)*(K25/MAX(1,K25+FATTENING!K45)),"")</f>
        <v/>
      </c>
    </row>
    <row r="30">
      <c r="A30" s="393" t="inlineStr">
        <is>
          <t>Total Manure Economic Benefit</t>
        </is>
      </c>
      <c r="B30">
        <f>IFERROR(SUM(B27:B29),"")</f>
        <v/>
      </c>
      <c r="C30">
        <f>IFERROR(SUM(C27:C29),"")</f>
        <v/>
      </c>
      <c r="D30">
        <f>IFERROR(SUM(D27:D29),"")</f>
        <v/>
      </c>
      <c r="E30">
        <f>IFERROR(SUM(E27:E29),"")</f>
        <v/>
      </c>
      <c r="F30">
        <f>IFERROR(SUM(F27:F29),"")</f>
        <v/>
      </c>
      <c r="G30">
        <f>IFERROR(SUM(G27:G29),"")</f>
        <v/>
      </c>
      <c r="H30">
        <f>IFERROR(SUM(H27:H29),"")</f>
        <v/>
      </c>
      <c r="I30">
        <f>IFERROR(SUM(I27:I29),"")</f>
        <v/>
      </c>
      <c r="J30">
        <f>IFERROR(SUM(J27:J29),"")</f>
        <v/>
      </c>
      <c r="K30">
        <f>IFERROR(SUM(K27:K29),"")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K2"/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K50"/>
  <sheetViews>
    <sheetView showGridLines="0" topLeftCell="A1" workbookViewId="0">
      <pane xSplit="1" ySplit="3" topLeftCell="B4" activePane="bottomRight" state="frozen"/>
      <selection pane="bottomRight" activeCell="A1" sqref="A1"/>
    </sheetView>
  </sheetViews>
  <sheetFormatPr baseColWidth="10" defaultColWidth="8.83203125" defaultRowHeight="15"/>
  <cols>
    <col width="30" customWidth="1" style="239" min="1" max="1"/>
    <col width="15" customWidth="1" style="239" min="2" max="11"/>
    <col width="13" customWidth="1" style="239" min="12" max="37"/>
  </cols>
  <sheetData>
    <row r="1" ht="21" customHeight="1" s="239">
      <c r="A1" s="253" t="inlineStr">
        <is>
          <t>Fattening Business Unit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1" t="n"/>
      <c r="L1" s="241" t="n"/>
      <c r="M1" s="241" t="n"/>
      <c r="N1" s="241" t="n"/>
      <c r="O1" s="241" t="n"/>
      <c r="P1" s="241" t="n"/>
      <c r="Q1" s="241" t="n"/>
      <c r="R1" s="241" t="n"/>
      <c r="S1" s="241" t="n"/>
      <c r="T1" s="241" t="n"/>
      <c r="U1" s="241" t="n"/>
      <c r="V1" s="241" t="n"/>
      <c r="W1" s="241" t="n"/>
      <c r="X1" s="241" t="n"/>
      <c r="Y1" s="241" t="n"/>
    </row>
    <row r="2">
      <c r="A2" s="257" t="inlineStr">
        <is>
          <t>Annual and moratorium-period fattening cycles for liquidity during the interest-only window.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1" t="n"/>
      <c r="L2" s="241" t="n"/>
      <c r="M2" s="241" t="n"/>
      <c r="N2" s="241" t="n"/>
      <c r="O2" s="241" t="n"/>
      <c r="P2" s="241" t="n"/>
      <c r="Q2" s="241" t="n"/>
      <c r="R2" s="241" t="n"/>
      <c r="S2" s="241" t="n"/>
      <c r="T2" s="241" t="n"/>
      <c r="U2" s="241" t="n"/>
      <c r="V2" s="241" t="n"/>
      <c r="W2" s="241" t="n"/>
      <c r="X2" s="241" t="n"/>
      <c r="Y2" s="241" t="n"/>
    </row>
    <row r="3" ht="16" customHeight="1" s="239">
      <c r="A3" s="154" t="inlineStr">
        <is>
          <t>Line Item</t>
        </is>
      </c>
      <c r="B3" s="154" t="inlineStr">
        <is>
          <t>Y1</t>
        </is>
      </c>
      <c r="C3" s="154" t="inlineStr">
        <is>
          <t>Y2</t>
        </is>
      </c>
      <c r="D3" s="154" t="inlineStr">
        <is>
          <t>Y3</t>
        </is>
      </c>
      <c r="E3" s="154" t="inlineStr">
        <is>
          <t>Y4</t>
        </is>
      </c>
      <c r="F3" s="154" t="inlineStr">
        <is>
          <t>Y5</t>
        </is>
      </c>
      <c r="G3" s="154" t="inlineStr">
        <is>
          <t>Y6</t>
        </is>
      </c>
      <c r="H3" s="154" t="inlineStr">
        <is>
          <t>Y7</t>
        </is>
      </c>
      <c r="I3" s="154" t="inlineStr">
        <is>
          <t>Y8</t>
        </is>
      </c>
      <c r="J3" s="154" t="inlineStr">
        <is>
          <t>Y9</t>
        </is>
      </c>
      <c r="K3" s="154" t="inlineStr">
        <is>
          <t>Y10</t>
        </is>
      </c>
      <c r="L3" s="241" t="n"/>
      <c r="M3" s="241" t="n"/>
      <c r="N3" s="241" t="n"/>
      <c r="O3" s="241" t="n"/>
      <c r="P3" s="241" t="n"/>
      <c r="Q3" s="241" t="n"/>
      <c r="R3" s="241" t="n"/>
      <c r="S3" s="241" t="n"/>
      <c r="T3" s="241" t="n"/>
      <c r="U3" s="241" t="n"/>
      <c r="V3" s="241" t="n"/>
      <c r="W3" s="241" t="n"/>
      <c r="X3" s="241" t="n"/>
      <c r="Y3" s="241" t="n"/>
    </row>
    <row r="4" ht="16" customHeight="1" s="239">
      <c r="A4" s="241" t="inlineStr">
        <is>
          <t>Opening Bulls</t>
        </is>
      </c>
      <c r="B4" s="140" t="n">
        <v>0</v>
      </c>
      <c r="C4" s="140">
        <f>IFERROR(B5+B6-B13,"")</f>
        <v/>
      </c>
      <c r="D4" s="140">
        <f>IFERROR(C5+C6-C13,"")</f>
        <v/>
      </c>
      <c r="E4" s="140">
        <f>IFERROR(D5+D6-D13,"")</f>
        <v/>
      </c>
      <c r="F4" s="140">
        <f>IFERROR(E5+E6-E13,"")</f>
        <v/>
      </c>
      <c r="G4" s="140">
        <f>IFERROR(F5+F6-F13,"")</f>
        <v/>
      </c>
      <c r="H4" s="140">
        <f>IFERROR(G5+G6-G13,"")</f>
        <v/>
      </c>
      <c r="I4" s="140">
        <f>IFERROR(H5+H6-H13,"")</f>
        <v/>
      </c>
      <c r="J4" s="140">
        <f>IFERROR(I5+I6-I13,"")</f>
        <v/>
      </c>
      <c r="K4" s="140">
        <f>IFERROR(J5+J6-J13,"")</f>
        <v/>
      </c>
      <c r="L4" s="241" t="n"/>
      <c r="M4" s="241" t="n"/>
      <c r="N4" s="241" t="n"/>
      <c r="O4" s="241" t="n"/>
      <c r="P4" s="241" t="n"/>
      <c r="Q4" s="241" t="n"/>
      <c r="R4" s="241" t="n"/>
      <c r="S4" s="241" t="n"/>
      <c r="T4" s="241" t="n"/>
      <c r="U4" s="241" t="n"/>
      <c r="V4" s="241" t="n"/>
      <c r="W4" s="241" t="n"/>
      <c r="X4" s="241" t="n"/>
      <c r="Y4" s="241" t="n"/>
    </row>
    <row r="5" ht="16" customHeight="1" s="239">
      <c r="A5" s="241" t="inlineStr">
        <is>
          <t>Net Bulls Purchased</t>
        </is>
      </c>
      <c r="B5" s="140">
        <f>IFERROR(MAX(0,120-B6),"")</f>
        <v/>
      </c>
      <c r="C5" s="140">
        <f>IFERROR(MAX(0,120-C6),"")</f>
        <v/>
      </c>
      <c r="D5" s="140">
        <f>IFERROR(MAX(0,120-D6),"")</f>
        <v/>
      </c>
      <c r="E5" s="140">
        <f>IFERROR(MAX(0,120-E6),"")</f>
        <v/>
      </c>
      <c r="F5" s="140">
        <f>IFERROR(MAX(0,120-F6),"")</f>
        <v/>
      </c>
      <c r="G5" s="140">
        <f>IFERROR(MAX(0,120-G6),"")</f>
        <v/>
      </c>
      <c r="H5" s="140">
        <f>IFERROR(MAX(0,120-H6),"")</f>
        <v/>
      </c>
      <c r="I5" s="140">
        <f>IFERROR(MAX(0,120-I6),"")</f>
        <v/>
      </c>
      <c r="J5" s="140">
        <f>IFERROR(MAX(0,120-J6),"")</f>
        <v/>
      </c>
      <c r="K5" s="140">
        <f>IFERROR(MAX(0,120-K6),"")</f>
        <v/>
      </c>
      <c r="L5" s="241" t="n"/>
      <c r="M5" s="241" t="n"/>
      <c r="N5" s="241" t="n"/>
      <c r="O5" s="241" t="n"/>
      <c r="P5" s="241" t="n"/>
      <c r="Q5" s="241" t="n"/>
      <c r="R5" s="241" t="n"/>
      <c r="S5" s="241" t="n"/>
      <c r="T5" s="241" t="n"/>
      <c r="U5" s="241" t="n"/>
      <c r="V5" s="241" t="n"/>
      <c r="W5" s="241" t="n"/>
      <c r="X5" s="241" t="n"/>
      <c r="Y5" s="241" t="n"/>
    </row>
    <row r="6" ht="16" customHeight="1" s="239">
      <c r="A6" s="241" t="inlineStr">
        <is>
          <t>Bulls Retained from Dairy</t>
        </is>
      </c>
      <c r="B6" s="140">
        <f>IFERROR(MAX(0,BALANCE_SHEET!F6/350*0.15),"")</f>
        <v/>
      </c>
      <c r="C6" s="140">
        <f>IFERROR(HERD_MODEL!L5,"")</f>
        <v/>
      </c>
      <c r="D6" s="140">
        <f>IFERROR(HERD_MODEL!L6,"")</f>
        <v/>
      </c>
      <c r="E6" s="140">
        <f>IFERROR(HERD_MODEL!L7,"")</f>
        <v/>
      </c>
      <c r="F6" s="140">
        <f>IFERROR(HERD_MODEL!L8,"")</f>
        <v/>
      </c>
      <c r="G6" s="140">
        <f>IFERROR(HERD_MODEL!L9,"")</f>
        <v/>
      </c>
      <c r="H6" s="140">
        <f>IFERROR(HERD_MODEL!L10,"")</f>
        <v/>
      </c>
      <c r="I6" s="140">
        <f>IFERROR(HERD_MODEL!L11,"")</f>
        <v/>
      </c>
      <c r="J6" s="140">
        <f>IFERROR(HERD_MODEL!L12,"")</f>
        <v/>
      </c>
      <c r="K6" s="140">
        <f>IFERROR(HERD_MODEL!L13,"")</f>
        <v/>
      </c>
      <c r="L6" s="241" t="n"/>
      <c r="M6" s="241" t="n"/>
      <c r="N6" s="241" t="n"/>
      <c r="O6" s="241" t="n"/>
      <c r="P6" s="241" t="n"/>
      <c r="Q6" s="241" t="n"/>
      <c r="R6" s="241" t="n"/>
      <c r="S6" s="241" t="n"/>
      <c r="T6" s="241" t="n"/>
      <c r="U6" s="241" t="n"/>
      <c r="V6" s="241" t="n"/>
      <c r="W6" s="241" t="n"/>
      <c r="X6" s="241" t="n"/>
      <c r="Y6" s="241" t="n"/>
    </row>
    <row r="7" ht="16" customHeight="1" s="239">
      <c r="A7" s="241" t="inlineStr">
        <is>
          <t>Total Bulls in Feedlot</t>
        </is>
      </c>
      <c r="B7" s="140">
        <f>IFERROR(B4+B5+B6,"")</f>
        <v/>
      </c>
      <c r="C7" s="140">
        <f>IFERROR(C4+C5+C6,"")</f>
        <v/>
      </c>
      <c r="D7" s="140">
        <f>IFERROR(D4+D5+D6,"")</f>
        <v/>
      </c>
      <c r="E7" s="140">
        <f>IFERROR(E4+E5+E6,"")</f>
        <v/>
      </c>
      <c r="F7" s="140">
        <f>IFERROR(F4+F5+F6,"")</f>
        <v/>
      </c>
      <c r="G7" s="140">
        <f>IFERROR(G4+G5+G6,"")</f>
        <v/>
      </c>
      <c r="H7" s="140">
        <f>IFERROR(H4+H5+H6,"")</f>
        <v/>
      </c>
      <c r="I7" s="140">
        <f>IFERROR(I4+I5+I6,"")</f>
        <v/>
      </c>
      <c r="J7" s="140">
        <f>IFERROR(J4+J5+J6,"")</f>
        <v/>
      </c>
      <c r="K7" s="140">
        <f>IFERROR(K4+K5+K6,"")</f>
        <v/>
      </c>
      <c r="L7" s="241" t="n"/>
      <c r="M7" s="241" t="n"/>
      <c r="N7" s="241" t="n"/>
      <c r="O7" s="241" t="n"/>
      <c r="P7" s="241" t="n"/>
      <c r="Q7" s="241" t="n"/>
      <c r="R7" s="241" t="n"/>
      <c r="S7" s="241" t="n"/>
      <c r="T7" s="241" t="n"/>
      <c r="U7" s="241" t="n"/>
      <c r="V7" s="241" t="n"/>
      <c r="W7" s="241" t="n"/>
      <c r="X7" s="241" t="n"/>
      <c r="Y7" s="241" t="n"/>
    </row>
    <row r="8" ht="16" customHeight="1" s="239">
      <c r="A8" s="241" t="inlineStr">
        <is>
          <t>Average Entry Weight kg</t>
        </is>
      </c>
      <c r="B8" s="140">
        <f>IFERROR(ASSUMPTIONS!B110,"")</f>
        <v/>
      </c>
      <c r="C8" s="140">
        <f>IFERROR(ASSUMPTIONS!B110,"")</f>
        <v/>
      </c>
      <c r="D8" s="140">
        <f>IFERROR(ASSUMPTIONS!B110,"")</f>
        <v/>
      </c>
      <c r="E8" s="140">
        <f>IFERROR(ASSUMPTIONS!B110,"")</f>
        <v/>
      </c>
      <c r="F8" s="140">
        <f>IFERROR(ASSUMPTIONS!B110,"")</f>
        <v/>
      </c>
      <c r="G8" s="140">
        <f>IFERROR(ASSUMPTIONS!B110,"")</f>
        <v/>
      </c>
      <c r="H8" s="140">
        <f>IFERROR(ASSUMPTIONS!B110,"")</f>
        <v/>
      </c>
      <c r="I8" s="140">
        <f>IFERROR(ASSUMPTIONS!B110,"")</f>
        <v/>
      </c>
      <c r="J8" s="140">
        <f>IFERROR(ASSUMPTIONS!B110,"")</f>
        <v/>
      </c>
      <c r="K8" s="140">
        <f>IFERROR(ASSUMPTIONS!B110,"")</f>
        <v/>
      </c>
      <c r="L8" s="241" t="n"/>
      <c r="M8" s="241" t="n"/>
      <c r="N8" s="241" t="n"/>
      <c r="O8" s="241" t="n"/>
      <c r="P8" s="241" t="n"/>
      <c r="Q8" s="241" t="n"/>
      <c r="R8" s="241" t="n"/>
      <c r="S8" s="241" t="n"/>
      <c r="T8" s="241" t="n"/>
      <c r="U8" s="241" t="n"/>
      <c r="V8" s="241" t="n"/>
      <c r="W8" s="241" t="n"/>
      <c r="X8" s="241" t="n"/>
      <c r="Y8" s="241" t="n"/>
    </row>
    <row r="9" ht="16" customHeight="1" s="239">
      <c r="A9" s="241" t="inlineStr">
        <is>
          <t>Daily Weight Gain kg/day</t>
        </is>
      </c>
      <c r="B9" s="140">
        <f>IFERROR(ASSUMPTIONS!B111,"")</f>
        <v/>
      </c>
      <c r="C9" s="140">
        <f>IFERROR(ASSUMPTIONS!B111,"")</f>
        <v/>
      </c>
      <c r="D9" s="140">
        <f>IFERROR(ASSUMPTIONS!B111,"")</f>
        <v/>
      </c>
      <c r="E9" s="140">
        <f>IFERROR(ASSUMPTIONS!B111,"")</f>
        <v/>
      </c>
      <c r="F9" s="140">
        <f>IFERROR(ASSUMPTIONS!B111,"")</f>
        <v/>
      </c>
      <c r="G9" s="140">
        <f>IFERROR(ASSUMPTIONS!B111,"")</f>
        <v/>
      </c>
      <c r="H9" s="140">
        <f>IFERROR(ASSUMPTIONS!B111,"")</f>
        <v/>
      </c>
      <c r="I9" s="140">
        <f>IFERROR(ASSUMPTIONS!B111,"")</f>
        <v/>
      </c>
      <c r="J9" s="140">
        <f>IFERROR(ASSUMPTIONS!B111,"")</f>
        <v/>
      </c>
      <c r="K9" s="140">
        <f>IFERROR(ASSUMPTIONS!B111,"")</f>
        <v/>
      </c>
      <c r="L9" s="241" t="n"/>
      <c r="M9" s="241" t="n"/>
      <c r="N9" s="241" t="n"/>
      <c r="O9" s="241" t="n"/>
      <c r="P9" s="241" t="n"/>
      <c r="Q9" s="241" t="n"/>
      <c r="R9" s="241" t="n"/>
      <c r="S9" s="241" t="n"/>
      <c r="T9" s="241" t="n"/>
      <c r="U9" s="241" t="n"/>
      <c r="V9" s="241" t="n"/>
      <c r="W9" s="241" t="n"/>
      <c r="X9" s="241" t="n"/>
      <c r="Y9" s="241" t="n"/>
    </row>
    <row r="10" ht="16" customHeight="1" s="239">
      <c r="A10" s="241" t="inlineStr">
        <is>
          <t>Days on Feed</t>
        </is>
      </c>
      <c r="B10" s="140">
        <f>IFERROR(ASSUMPTIONS!B112,"")</f>
        <v/>
      </c>
      <c r="C10" s="140">
        <f>IFERROR(ASSUMPTIONS!B112,"")</f>
        <v/>
      </c>
      <c r="D10" s="140">
        <f>IFERROR(ASSUMPTIONS!B112,"")</f>
        <v/>
      </c>
      <c r="E10" s="140">
        <f>IFERROR(ASSUMPTIONS!B112,"")</f>
        <v/>
      </c>
      <c r="F10" s="140">
        <f>IFERROR(ASSUMPTIONS!B112,"")</f>
        <v/>
      </c>
      <c r="G10" s="140">
        <f>IFERROR(ASSUMPTIONS!B112,"")</f>
        <v/>
      </c>
      <c r="H10" s="140">
        <f>IFERROR(ASSUMPTIONS!B112,"")</f>
        <v/>
      </c>
      <c r="I10" s="140">
        <f>IFERROR(ASSUMPTIONS!B112,"")</f>
        <v/>
      </c>
      <c r="J10" s="140">
        <f>IFERROR(ASSUMPTIONS!B112,"")</f>
        <v/>
      </c>
      <c r="K10" s="140">
        <f>IFERROR(ASSUMPTIONS!B112,"")</f>
        <v/>
      </c>
      <c r="L10" s="241" t="n"/>
      <c r="M10" s="241" t="n"/>
      <c r="N10" s="241" t="n"/>
      <c r="O10" s="241" t="n"/>
      <c r="P10" s="241" t="n"/>
      <c r="Q10" s="241" t="n"/>
      <c r="R10" s="241" t="n"/>
      <c r="S10" s="241" t="n"/>
      <c r="T10" s="241" t="n"/>
      <c r="U10" s="241" t="n"/>
      <c r="V10" s="241" t="n"/>
      <c r="W10" s="241" t="n"/>
      <c r="X10" s="241" t="n"/>
      <c r="Y10" s="241" t="n"/>
    </row>
    <row r="11" ht="16" customHeight="1" s="239">
      <c r="A11" s="241" t="inlineStr">
        <is>
          <t>Exit Weight kg</t>
        </is>
      </c>
      <c r="B11" s="140">
        <f>IFERROR(MAX(350,B8+B9*B10),"")</f>
        <v/>
      </c>
      <c r="C11" s="140">
        <f>IFERROR(MAX(350,C8+C9*C10),"")</f>
        <v/>
      </c>
      <c r="D11" s="140">
        <f>IFERROR(MAX(350,D8+D9*D10),"")</f>
        <v/>
      </c>
      <c r="E11" s="140">
        <f>IFERROR(MAX(350,E8+E9*E10),"")</f>
        <v/>
      </c>
      <c r="F11" s="140">
        <f>IFERROR(MAX(350,F8+F9*F10),"")</f>
        <v/>
      </c>
      <c r="G11" s="140">
        <f>IFERROR(MAX(350,G8+G9*G10),"")</f>
        <v/>
      </c>
      <c r="H11" s="140">
        <f>IFERROR(MAX(350,H8+H9*H10),"")</f>
        <v/>
      </c>
      <c r="I11" s="140">
        <f>IFERROR(MAX(350,I8+I9*I10),"")</f>
        <v/>
      </c>
      <c r="J11" s="140">
        <f>IFERROR(MAX(350,J8+J9*J10),"")</f>
        <v/>
      </c>
      <c r="K11" s="140">
        <f>IFERROR(MAX(350,K8+K9*K10),"")</f>
        <v/>
      </c>
      <c r="L11" s="241" t="n"/>
      <c r="M11" s="241" t="n"/>
      <c r="N11" s="241" t="n"/>
      <c r="O11" s="241" t="n"/>
      <c r="P11" s="241" t="n"/>
      <c r="Q11" s="241" t="n"/>
      <c r="R11" s="241" t="n"/>
      <c r="S11" s="241" t="n"/>
      <c r="T11" s="241" t="n"/>
      <c r="U11" s="241" t="n"/>
      <c r="V11" s="241" t="n"/>
      <c r="W11" s="241" t="n"/>
      <c r="X11" s="241" t="n"/>
      <c r="Y11" s="241" t="n"/>
    </row>
    <row r="12" ht="16" customHeight="1" s="239">
      <c r="A12" s="241" t="inlineStr">
        <is>
          <t>Mortality</t>
        </is>
      </c>
      <c r="B12" s="140" t="n">
        <v>0.02</v>
      </c>
      <c r="C12" s="140" t="n">
        <v>0.02</v>
      </c>
      <c r="D12" s="140" t="n">
        <v>0.02</v>
      </c>
      <c r="E12" s="140" t="n">
        <v>0.02</v>
      </c>
      <c r="F12" s="140" t="n">
        <v>0.02</v>
      </c>
      <c r="G12" s="140" t="n">
        <v>0.02</v>
      </c>
      <c r="H12" s="140" t="n">
        <v>0.02</v>
      </c>
      <c r="I12" s="140" t="n">
        <v>0.02</v>
      </c>
      <c r="J12" s="140" t="n">
        <v>0.02</v>
      </c>
      <c r="K12" s="140" t="n">
        <v>0.02</v>
      </c>
      <c r="L12" s="241" t="n"/>
      <c r="M12" s="241" t="n"/>
      <c r="N12" s="241" t="n"/>
      <c r="O12" s="241" t="n"/>
      <c r="P12" s="241" t="n"/>
      <c r="Q12" s="241" t="n"/>
      <c r="R12" s="241" t="n"/>
      <c r="S12" s="241" t="n"/>
      <c r="T12" s="241" t="n"/>
      <c r="U12" s="241" t="n"/>
      <c r="V12" s="241" t="n"/>
      <c r="W12" s="241" t="n"/>
      <c r="X12" s="241" t="n"/>
      <c r="Y12" s="241" t="n"/>
    </row>
    <row r="13" ht="16" customHeight="1" s="239">
      <c r="A13" s="241" t="inlineStr">
        <is>
          <t>Bulls Sold</t>
        </is>
      </c>
      <c r="B13" s="140">
        <f>IFERROR(B7*(1-B12),"")</f>
        <v/>
      </c>
      <c r="C13" s="140">
        <f>IFERROR(C7*(1-C12),"")</f>
        <v/>
      </c>
      <c r="D13" s="140">
        <f>IFERROR(D7*(1-D12),"")</f>
        <v/>
      </c>
      <c r="E13" s="140">
        <f>IFERROR(E7*(1-E12),"")</f>
        <v/>
      </c>
      <c r="F13" s="140">
        <f>IFERROR(F7*(1-F12),"")</f>
        <v/>
      </c>
      <c r="G13" s="140">
        <f>IFERROR(G7*(1-G12),"")</f>
        <v/>
      </c>
      <c r="H13" s="140">
        <f>IFERROR(H7*(1-H12),"")</f>
        <v/>
      </c>
      <c r="I13" s="140">
        <f>IFERROR(I7*(1-I12),"")</f>
        <v/>
      </c>
      <c r="J13" s="140">
        <f>IFERROR(J7*(1-J12),"")</f>
        <v/>
      </c>
      <c r="K13" s="140">
        <f>IFERROR(K7*(1-K12),"")</f>
        <v/>
      </c>
      <c r="L13" s="241" t="n"/>
      <c r="M13" s="241" t="n"/>
      <c r="N13" s="241" t="n"/>
      <c r="O13" s="241" t="n"/>
      <c r="P13" s="241" t="n"/>
      <c r="Q13" s="241" t="n"/>
      <c r="R13" s="241" t="n"/>
      <c r="S13" s="241" t="n"/>
      <c r="T13" s="241" t="n"/>
      <c r="U13" s="241" t="n"/>
      <c r="V13" s="241" t="n"/>
      <c r="W13" s="241" t="n"/>
      <c r="X13" s="241" t="n"/>
      <c r="Y13" s="241" t="n"/>
    </row>
    <row r="14" ht="16" customHeight="1" s="239">
      <c r="A14" s="241" t="inlineStr">
        <is>
          <t>Selling Price per Kg</t>
        </is>
      </c>
      <c r="B14" s="140">
        <f>IFERROR(ASSUMPTIONS!B48,"")</f>
        <v/>
      </c>
      <c r="C14" s="140">
        <f>IFERROR(ASSUMPTIONS!C48,"")</f>
        <v/>
      </c>
      <c r="D14" s="140">
        <f>IFERROR(ASSUMPTIONS!D48,"")</f>
        <v/>
      </c>
      <c r="E14" s="140">
        <f>IFERROR(ASSUMPTIONS!E48,"")</f>
        <v/>
      </c>
      <c r="F14" s="140">
        <f>IFERROR(ASSUMPTIONS!F48,"")</f>
        <v/>
      </c>
      <c r="G14" s="140">
        <f>IFERROR(ASSUMPTIONS!G48,"")</f>
        <v/>
      </c>
      <c r="H14" s="140">
        <f>IFERROR(ASSUMPTIONS!H48,"")</f>
        <v/>
      </c>
      <c r="I14" s="140">
        <f>IFERROR(ASSUMPTIONS!I48,"")</f>
        <v/>
      </c>
      <c r="J14" s="140">
        <f>IFERROR(ASSUMPTIONS!J48,"")</f>
        <v/>
      </c>
      <c r="K14" s="140">
        <f>IFERROR(ASSUMPTIONS!K48,"")</f>
        <v/>
      </c>
      <c r="L14" s="241" t="n"/>
      <c r="M14" s="241" t="n"/>
      <c r="N14" s="241" t="n"/>
      <c r="O14" s="241" t="n"/>
      <c r="P14" s="241" t="n"/>
      <c r="Q14" s="241" t="n"/>
      <c r="R14" s="241" t="n"/>
      <c r="S14" s="241" t="n"/>
      <c r="T14" s="241" t="n"/>
      <c r="U14" s="241" t="n"/>
      <c r="V14" s="241" t="n"/>
      <c r="W14" s="241" t="n"/>
      <c r="X14" s="241" t="n"/>
      <c r="Y14" s="241" t="n"/>
    </row>
    <row r="15" ht="16" customHeight="1" s="239">
      <c r="A15" s="157" t="inlineStr">
        <is>
          <t>Revenue</t>
        </is>
      </c>
      <c r="B15" s="158">
        <f>IFERROR(B13*B11*B14,"")</f>
        <v/>
      </c>
      <c r="C15" s="158">
        <f>IFERROR(C13*C11*C14,"")</f>
        <v/>
      </c>
      <c r="D15" s="158">
        <f>IFERROR(D13*D11*D14,"")</f>
        <v/>
      </c>
      <c r="E15" s="158">
        <f>IFERROR(E13*E11*E14,"")</f>
        <v/>
      </c>
      <c r="F15" s="158">
        <f>IFERROR(F13*F11*F14,"")</f>
        <v/>
      </c>
      <c r="G15" s="158">
        <f>IFERROR(G13*G11*G14,"")</f>
        <v/>
      </c>
      <c r="H15" s="158">
        <f>IFERROR(H13*H11*H14,"")</f>
        <v/>
      </c>
      <c r="I15" s="158">
        <f>IFERROR(I13*I11*I14,"")</f>
        <v/>
      </c>
      <c r="J15" s="158">
        <f>IFERROR(J13*J11*J14,"")</f>
        <v/>
      </c>
      <c r="K15" s="158">
        <f>IFERROR(K13*K11*K14,"")</f>
        <v/>
      </c>
      <c r="L15" s="241" t="n"/>
      <c r="M15" s="241" t="n"/>
      <c r="N15" s="241" t="n"/>
      <c r="O15" s="241" t="n"/>
      <c r="P15" s="241" t="n"/>
      <c r="Q15" s="241" t="n"/>
      <c r="R15" s="241" t="n"/>
      <c r="S15" s="241" t="n"/>
      <c r="T15" s="241" t="n"/>
      <c r="U15" s="241" t="n"/>
      <c r="V15" s="241" t="n"/>
      <c r="W15" s="241" t="n"/>
      <c r="X15" s="241" t="n"/>
      <c r="Y15" s="241" t="n"/>
    </row>
    <row r="16" ht="16" customHeight="1" s="239">
      <c r="A16" s="241" t="inlineStr">
        <is>
          <t>Bull Purchase Cost</t>
        </is>
      </c>
      <c r="B16" s="140">
        <f>IFERROR(B5*ASSUMPTIONS!$B$109,"")</f>
        <v/>
      </c>
      <c r="C16" s="140">
        <f>IFERROR(C5*ASSUMPTIONS!$B$109,"")</f>
        <v/>
      </c>
      <c r="D16" s="140">
        <f>IFERROR(D5*ASSUMPTIONS!$B$109,"")</f>
        <v/>
      </c>
      <c r="E16" s="140">
        <f>IFERROR(E5*ASSUMPTIONS!$B$109,"")</f>
        <v/>
      </c>
      <c r="F16" s="140">
        <f>IFERROR(F5*ASSUMPTIONS!$B$109,"")</f>
        <v/>
      </c>
      <c r="G16" s="140">
        <f>IFERROR(G5*ASSUMPTIONS!$B$109,"")</f>
        <v/>
      </c>
      <c r="H16" s="140">
        <f>IFERROR(H5*ASSUMPTIONS!$B$109,"")</f>
        <v/>
      </c>
      <c r="I16" s="140">
        <f>IFERROR(I5*ASSUMPTIONS!$B$109,"")</f>
        <v/>
      </c>
      <c r="J16" s="140">
        <f>IFERROR(J5*ASSUMPTIONS!$B$109,"")</f>
        <v/>
      </c>
      <c r="K16" s="140">
        <f>IFERROR(K5*ASSUMPTIONS!$B$109,"")</f>
        <v/>
      </c>
      <c r="L16" s="241" t="n"/>
      <c r="M16" s="241" t="n"/>
      <c r="N16" s="241" t="n"/>
      <c r="O16" s="241" t="n"/>
      <c r="P16" s="241" t="n"/>
      <c r="Q16" s="241" t="n"/>
      <c r="R16" s="241" t="n"/>
      <c r="S16" s="241" t="n"/>
      <c r="T16" s="241" t="n"/>
      <c r="U16" s="241" t="n"/>
      <c r="V16" s="241" t="n"/>
      <c r="W16" s="241" t="n"/>
      <c r="X16" s="241" t="n"/>
      <c r="Y16" s="241" t="n"/>
    </row>
    <row r="17" ht="16" customHeight="1" s="239">
      <c r="A17" s="241" t="inlineStr">
        <is>
          <t>Feed Cost</t>
        </is>
      </c>
      <c r="B17" s="140">
        <f>IFERROR(B13*B10*ASSUMPTIONS!$B$132,"")</f>
        <v/>
      </c>
      <c r="C17" s="140">
        <f>IFERROR(C13*C10*ASSUMPTIONS!$B$132,"")</f>
        <v/>
      </c>
      <c r="D17" s="140">
        <f>IFERROR(D13*D10*ASSUMPTIONS!$B$132,"")</f>
        <v/>
      </c>
      <c r="E17" s="140">
        <f>IFERROR(E13*E10*ASSUMPTIONS!$B$132,"")</f>
        <v/>
      </c>
      <c r="F17" s="140">
        <f>IFERROR(F13*F10*ASSUMPTIONS!$B$132,"")</f>
        <v/>
      </c>
      <c r="G17" s="140">
        <f>IFERROR(G13*G10*ASSUMPTIONS!$B$132,"")</f>
        <v/>
      </c>
      <c r="H17" s="140">
        <f>IFERROR(H13*H10*ASSUMPTIONS!$B$132,"")</f>
        <v/>
      </c>
      <c r="I17" s="140">
        <f>IFERROR(I13*I10*ASSUMPTIONS!$B$132,"")</f>
        <v/>
      </c>
      <c r="J17" s="140">
        <f>IFERROR(J13*J10*ASSUMPTIONS!$B$132,"")</f>
        <v/>
      </c>
      <c r="K17" s="140">
        <f>IFERROR(K13*K10*ASSUMPTIONS!$B$132,"")</f>
        <v/>
      </c>
      <c r="L17" s="241" t="n"/>
      <c r="M17" s="241" t="n"/>
      <c r="N17" s="241" t="n"/>
      <c r="O17" s="241" t="n"/>
      <c r="P17" s="241" t="n"/>
      <c r="Q17" s="241" t="n"/>
      <c r="R17" s="241" t="n"/>
      <c r="S17" s="241" t="n"/>
      <c r="T17" s="241" t="n"/>
      <c r="U17" s="241" t="n"/>
      <c r="V17" s="241" t="n"/>
      <c r="W17" s="241" t="n"/>
      <c r="X17" s="241" t="n"/>
      <c r="Y17" s="241" t="n"/>
    </row>
    <row r="18" ht="16" customHeight="1" s="239">
      <c r="A18" s="241" t="inlineStr">
        <is>
          <t>Veterinary Cost</t>
        </is>
      </c>
      <c r="B18" s="140">
        <f>IFERROR(B13*ASSUMPTIONS!$B$130,"")</f>
        <v/>
      </c>
      <c r="C18" s="140">
        <f>IFERROR(C13*ASSUMPTIONS!$B$130,"")</f>
        <v/>
      </c>
      <c r="D18" s="140">
        <f>IFERROR(D13*ASSUMPTIONS!$B$130,"")</f>
        <v/>
      </c>
      <c r="E18" s="140">
        <f>IFERROR(E13*ASSUMPTIONS!$B$130,"")</f>
        <v/>
      </c>
      <c r="F18" s="140">
        <f>IFERROR(F13*ASSUMPTIONS!$B$130,"")</f>
        <v/>
      </c>
      <c r="G18" s="140">
        <f>IFERROR(G13*ASSUMPTIONS!$B$130,"")</f>
        <v/>
      </c>
      <c r="H18" s="140">
        <f>IFERROR(H13*ASSUMPTIONS!$B$130,"")</f>
        <v/>
      </c>
      <c r="I18" s="140">
        <f>IFERROR(I13*ASSUMPTIONS!$B$130,"")</f>
        <v/>
      </c>
      <c r="J18" s="140">
        <f>IFERROR(J13*ASSUMPTIONS!$B$130,"")</f>
        <v/>
      </c>
      <c r="K18" s="140">
        <f>IFERROR(K13*ASSUMPTIONS!$B$130,"")</f>
        <v/>
      </c>
      <c r="L18" s="241" t="n"/>
      <c r="M18" s="241" t="n"/>
      <c r="N18" s="241" t="n"/>
      <c r="O18" s="241" t="n"/>
      <c r="P18" s="241" t="n"/>
      <c r="Q18" s="241" t="n"/>
      <c r="R18" s="241" t="n"/>
      <c r="S18" s="241" t="n"/>
      <c r="T18" s="241" t="n"/>
      <c r="U18" s="241" t="n"/>
      <c r="V18" s="241" t="n"/>
      <c r="W18" s="241" t="n"/>
      <c r="X18" s="241" t="n"/>
      <c r="Y18" s="241" t="n"/>
    </row>
    <row r="19" ht="16" customHeight="1" s="239">
      <c r="A19" s="157" t="inlineStr">
        <is>
          <t>Labour Cost</t>
        </is>
      </c>
      <c r="B19" s="158">
        <f>IFERROR(B13*ASSUMPTIONS!$B$131,"")</f>
        <v/>
      </c>
      <c r="C19" s="158">
        <f>IFERROR(C13*ASSUMPTIONS!$B$131,"")</f>
        <v/>
      </c>
      <c r="D19" s="158">
        <f>IFERROR(D13*ASSUMPTIONS!$B$131,"")</f>
        <v/>
      </c>
      <c r="E19" s="158">
        <f>IFERROR(E13*ASSUMPTIONS!$B$131,"")</f>
        <v/>
      </c>
      <c r="F19" s="158">
        <f>IFERROR(F13*ASSUMPTIONS!$B$131,"")</f>
        <v/>
      </c>
      <c r="G19" s="158">
        <f>IFERROR(G13*ASSUMPTIONS!$B$131,"")</f>
        <v/>
      </c>
      <c r="H19" s="158">
        <f>IFERROR(H13*ASSUMPTIONS!$B$131,"")</f>
        <v/>
      </c>
      <c r="I19" s="158">
        <f>IFERROR(I13*ASSUMPTIONS!$B$131,"")</f>
        <v/>
      </c>
      <c r="J19" s="158">
        <f>IFERROR(J13*ASSUMPTIONS!$B$131,"")</f>
        <v/>
      </c>
      <c r="K19" s="158">
        <f>IFERROR(K13*ASSUMPTIONS!$B$131,"")</f>
        <v/>
      </c>
      <c r="L19" s="241" t="n"/>
      <c r="M19" s="241" t="n"/>
      <c r="N19" s="241" t="n"/>
      <c r="O19" s="241" t="n"/>
      <c r="P19" s="241" t="n"/>
      <c r="Q19" s="241" t="n"/>
      <c r="R19" s="241" t="n"/>
      <c r="S19" s="241" t="n"/>
      <c r="T19" s="241" t="n"/>
      <c r="U19" s="241" t="n"/>
      <c r="V19" s="241" t="n"/>
      <c r="W19" s="241" t="n"/>
      <c r="X19" s="241" t="n"/>
      <c r="Y19" s="241" t="n"/>
    </row>
    <row r="20" ht="16" customHeight="1" s="239">
      <c r="A20" s="157" t="inlineStr">
        <is>
          <t>Operating Cash Flow</t>
        </is>
      </c>
      <c r="B20" s="158">
        <f>IFERROR(B15-SUM(B16:B19),"")</f>
        <v/>
      </c>
      <c r="C20" s="158">
        <f>IFERROR(C15-SUM(C16:C19),"")</f>
        <v/>
      </c>
      <c r="D20" s="158">
        <f>IFERROR(D15-SUM(D16:D19),"")</f>
        <v/>
      </c>
      <c r="E20" s="158">
        <f>IFERROR(E15-SUM(E16:E19),"")</f>
        <v/>
      </c>
      <c r="F20" s="158">
        <f>IFERROR(F15-SUM(F16:F19),"")</f>
        <v/>
      </c>
      <c r="G20" s="158">
        <f>IFERROR(G15-SUM(G16:G19),"")</f>
        <v/>
      </c>
      <c r="H20" s="158">
        <f>IFERROR(H15-SUM(H16:H19),"")</f>
        <v/>
      </c>
      <c r="I20" s="158">
        <f>IFERROR(I15-SUM(I16:I19),"")</f>
        <v/>
      </c>
      <c r="J20" s="158">
        <f>IFERROR(J15-SUM(J16:J19),"")</f>
        <v/>
      </c>
      <c r="K20" s="158">
        <f>IFERROR(K15-SUM(K16:K19),"")</f>
        <v/>
      </c>
      <c r="L20" s="157" t="n"/>
      <c r="M20" s="157" t="n"/>
      <c r="N20" s="157" t="n"/>
      <c r="O20" s="157" t="n"/>
      <c r="P20" s="157" t="n"/>
      <c r="Q20" s="157" t="n"/>
      <c r="R20" s="157" t="n"/>
      <c r="S20" s="157" t="n"/>
      <c r="T20" s="157" t="n"/>
      <c r="U20" s="157" t="n"/>
      <c r="V20" s="157" t="n"/>
      <c r="W20" s="157" t="n"/>
      <c r="X20" s="157" t="n"/>
      <c r="Y20" s="157" t="n"/>
    </row>
    <row r="21" ht="16" customHeight="1" s="239">
      <c r="A21" s="157" t="inlineStr">
        <is>
          <t>CFADS</t>
        </is>
      </c>
      <c r="B21" s="158">
        <f>IFERROR(B20,"")</f>
        <v/>
      </c>
      <c r="C21" s="158">
        <f>IFERROR(C20,"")</f>
        <v/>
      </c>
      <c r="D21" s="158">
        <f>IFERROR(D20,"")</f>
        <v/>
      </c>
      <c r="E21" s="158">
        <f>IFERROR(E20,"")</f>
        <v/>
      </c>
      <c r="F21" s="158">
        <f>IFERROR(F20,"")</f>
        <v/>
      </c>
      <c r="G21" s="158">
        <f>IFERROR(G20,"")</f>
        <v/>
      </c>
      <c r="H21" s="158">
        <f>IFERROR(H20,"")</f>
        <v/>
      </c>
      <c r="I21" s="158">
        <f>IFERROR(I20,"")</f>
        <v/>
      </c>
      <c r="J21" s="158">
        <f>IFERROR(J20,"")</f>
        <v/>
      </c>
      <c r="K21" s="158">
        <f>IFERROR(K20,"")</f>
        <v/>
      </c>
      <c r="L21" s="157" t="n"/>
      <c r="M21" s="157" t="n"/>
      <c r="N21" s="157" t="n"/>
      <c r="O21" s="157" t="n"/>
      <c r="P21" s="157" t="n"/>
      <c r="Q21" s="157" t="n"/>
      <c r="R21" s="157" t="n"/>
      <c r="S21" s="157" t="n"/>
      <c r="T21" s="157" t="n"/>
      <c r="U21" s="157" t="n"/>
      <c r="V21" s="157" t="n"/>
      <c r="W21" s="157" t="n"/>
      <c r="X21" s="157" t="n"/>
      <c r="Y21" s="157" t="n"/>
    </row>
    <row r="22">
      <c r="A22" s="241" t="n"/>
      <c r="B22" s="241" t="n"/>
      <c r="C22" s="241" t="n"/>
      <c r="D22" s="241" t="n"/>
      <c r="E22" s="241" t="n"/>
      <c r="F22" s="241" t="n"/>
      <c r="G22" s="241" t="n"/>
      <c r="H22" s="241" t="n"/>
      <c r="I22" s="241" t="n"/>
      <c r="J22" s="241" t="n"/>
      <c r="K22" s="241" t="n"/>
      <c r="L22" s="241" t="n"/>
      <c r="M22" s="241" t="n"/>
      <c r="N22" s="241" t="n"/>
      <c r="O22" s="241" t="n"/>
      <c r="P22" s="241" t="n"/>
      <c r="Q22" s="241" t="n"/>
      <c r="R22" s="241" t="n"/>
      <c r="S22" s="241" t="n"/>
      <c r="T22" s="241" t="n"/>
      <c r="U22" s="241" t="n"/>
      <c r="V22" s="241" t="n"/>
      <c r="W22" s="241" t="n"/>
      <c r="X22" s="241" t="n"/>
      <c r="Y22" s="241" t="n"/>
    </row>
    <row r="23" ht="16" customHeight="1" s="239">
      <c r="A23" s="166" t="inlineStr">
        <is>
          <t>Moratorium Cycle Detail</t>
        </is>
      </c>
      <c r="B23" s="241" t="n"/>
      <c r="C23" s="241" t="n"/>
      <c r="D23" s="241" t="n"/>
      <c r="E23" s="241" t="n"/>
      <c r="F23" s="241" t="n"/>
      <c r="G23" s="241" t="n"/>
      <c r="H23" s="241" t="n"/>
      <c r="I23" s="241" t="n"/>
      <c r="J23" s="241" t="n"/>
      <c r="K23" s="241" t="n"/>
      <c r="L23" s="241" t="n"/>
      <c r="M23" s="241" t="n"/>
      <c r="N23" s="241" t="n"/>
      <c r="O23" s="241" t="n"/>
      <c r="P23" s="241" t="n"/>
      <c r="Q23" s="241" t="n"/>
      <c r="R23" s="241" t="n"/>
      <c r="S23" s="241" t="n"/>
      <c r="T23" s="241" t="n"/>
      <c r="U23" s="241" t="n"/>
      <c r="V23" s="241" t="n"/>
      <c r="W23" s="241" t="n"/>
      <c r="X23" s="241" t="n"/>
      <c r="Y23" s="241" t="n"/>
    </row>
    <row r="24" ht="16" customHeight="1" s="239">
      <c r="A24" s="154" t="inlineStr">
        <is>
          <t>Line Item</t>
        </is>
      </c>
      <c r="B24" s="154" t="inlineStr">
        <is>
          <t>M1</t>
        </is>
      </c>
      <c r="C24" s="154" t="inlineStr">
        <is>
          <t>M2</t>
        </is>
      </c>
      <c r="D24" s="154" t="inlineStr">
        <is>
          <t>M3</t>
        </is>
      </c>
      <c r="E24" s="154" t="inlineStr">
        <is>
          <t>M4</t>
        </is>
      </c>
      <c r="F24" s="154" t="inlineStr">
        <is>
          <t>M5</t>
        </is>
      </c>
      <c r="G24" s="154" t="inlineStr">
        <is>
          <t>M6</t>
        </is>
      </c>
      <c r="H24" s="154" t="inlineStr">
        <is>
          <t>M7</t>
        </is>
      </c>
      <c r="I24" s="154" t="inlineStr">
        <is>
          <t>M8</t>
        </is>
      </c>
      <c r="J24" s="154" t="inlineStr">
        <is>
          <t>M9</t>
        </is>
      </c>
      <c r="K24" s="154" t="inlineStr">
        <is>
          <t>M10</t>
        </is>
      </c>
      <c r="L24" s="154" t="inlineStr">
        <is>
          <t>M11</t>
        </is>
      </c>
      <c r="M24" s="154" t="inlineStr">
        <is>
          <t>M12</t>
        </is>
      </c>
      <c r="N24" s="154" t="inlineStr">
        <is>
          <t>M13</t>
        </is>
      </c>
      <c r="O24" s="154" t="inlineStr">
        <is>
          <t>M14</t>
        </is>
      </c>
      <c r="P24" s="154" t="inlineStr">
        <is>
          <t>M15</t>
        </is>
      </c>
      <c r="Q24" s="154" t="inlineStr">
        <is>
          <t>M16</t>
        </is>
      </c>
      <c r="R24" s="154" t="inlineStr">
        <is>
          <t>M17</t>
        </is>
      </c>
      <c r="S24" s="154" t="inlineStr">
        <is>
          <t>M18</t>
        </is>
      </c>
      <c r="T24" s="154" t="inlineStr">
        <is>
          <t>M19</t>
        </is>
      </c>
      <c r="U24" s="154" t="inlineStr">
        <is>
          <t>M20</t>
        </is>
      </c>
      <c r="V24" s="154" t="inlineStr">
        <is>
          <t>M21</t>
        </is>
      </c>
      <c r="W24" s="154" t="inlineStr">
        <is>
          <t>M22</t>
        </is>
      </c>
      <c r="X24" s="154" t="inlineStr">
        <is>
          <t>M23</t>
        </is>
      </c>
      <c r="Y24" s="154" t="inlineStr">
        <is>
          <t>M24</t>
        </is>
      </c>
      <c r="Z24" s="154" t="inlineStr">
        <is>
          <t>M25</t>
        </is>
      </c>
      <c r="AA24" s="154" t="inlineStr">
        <is>
          <t>M26</t>
        </is>
      </c>
      <c r="AB24" s="154" t="inlineStr">
        <is>
          <t>M27</t>
        </is>
      </c>
      <c r="AC24" s="154" t="inlineStr">
        <is>
          <t>M28</t>
        </is>
      </c>
      <c r="AD24" s="154" t="inlineStr">
        <is>
          <t>M29</t>
        </is>
      </c>
      <c r="AE24" s="154" t="inlineStr">
        <is>
          <t>M30</t>
        </is>
      </c>
      <c r="AF24" s="154" t="inlineStr">
        <is>
          <t>M31</t>
        </is>
      </c>
      <c r="AG24" s="154" t="inlineStr">
        <is>
          <t>M32</t>
        </is>
      </c>
      <c r="AH24" s="154" t="inlineStr">
        <is>
          <t>M33</t>
        </is>
      </c>
      <c r="AI24" s="154" t="inlineStr">
        <is>
          <t>M34</t>
        </is>
      </c>
      <c r="AJ24" s="154" t="inlineStr">
        <is>
          <t>M35</t>
        </is>
      </c>
      <c r="AK24" s="154" t="inlineStr">
        <is>
          <t>M36</t>
        </is>
      </c>
    </row>
    <row r="25" ht="16" customHeight="1" s="239">
      <c r="A25" s="241" t="inlineStr">
        <is>
          <t>Cycle Window</t>
        </is>
      </c>
      <c r="B25" s="241" t="n"/>
      <c r="C25" s="241" t="n"/>
      <c r="D25" s="241" t="inlineStr">
        <is>
          <t>Cycle 1</t>
        </is>
      </c>
      <c r="E25" s="241" t="inlineStr">
        <is>
          <t>Cycle 1</t>
        </is>
      </c>
      <c r="F25" s="241" t="inlineStr">
        <is>
          <t>Cycle 1</t>
        </is>
      </c>
      <c r="G25" s="241" t="inlineStr">
        <is>
          <t>Cycle 1</t>
        </is>
      </c>
      <c r="H25" s="241" t="inlineStr">
        <is>
          <t>Cycle 2</t>
        </is>
      </c>
      <c r="I25" s="241" t="inlineStr">
        <is>
          <t>Cycle 2</t>
        </is>
      </c>
      <c r="J25" s="241" t="inlineStr">
        <is>
          <t>Cycle 2</t>
        </is>
      </c>
      <c r="K25" s="241" t="inlineStr">
        <is>
          <t>Cycle 2</t>
        </is>
      </c>
      <c r="L25" s="241" t="inlineStr">
        <is>
          <t>Cycle 3</t>
        </is>
      </c>
      <c r="M25" s="241" t="inlineStr">
        <is>
          <t>Cycle 3</t>
        </is>
      </c>
      <c r="N25" s="241" t="inlineStr">
        <is>
          <t>Cycle 3</t>
        </is>
      </c>
      <c r="O25" s="241" t="inlineStr">
        <is>
          <t>Cycle 3</t>
        </is>
      </c>
      <c r="P25" s="241" t="inlineStr">
        <is>
          <t>Cycle 4</t>
        </is>
      </c>
      <c r="Q25" s="241" t="inlineStr">
        <is>
          <t>Cycle 4</t>
        </is>
      </c>
      <c r="R25" s="241" t="inlineStr">
        <is>
          <t>Cycle 4</t>
        </is>
      </c>
      <c r="S25" s="241" t="inlineStr">
        <is>
          <t>Cycle 4</t>
        </is>
      </c>
      <c r="T25" s="241" t="inlineStr">
        <is>
          <t>Cycle 5</t>
        </is>
      </c>
      <c r="U25" s="241" t="inlineStr">
        <is>
          <t>Cycle 5</t>
        </is>
      </c>
      <c r="V25" s="241" t="inlineStr">
        <is>
          <t>Cycle 5</t>
        </is>
      </c>
      <c r="W25" s="241" t="inlineStr">
        <is>
          <t>Cycle 5</t>
        </is>
      </c>
      <c r="X25" s="241" t="inlineStr">
        <is>
          <t>Cycle 6</t>
        </is>
      </c>
      <c r="Y25" s="241" t="inlineStr">
        <is>
          <t>Cycle 6</t>
        </is>
      </c>
      <c r="Z25" s="241" t="inlineStr">
        <is>
          <t>Cycle 6</t>
        </is>
      </c>
      <c r="AA25" s="241" t="inlineStr">
        <is>
          <t>Cycle 6</t>
        </is>
      </c>
      <c r="AB25" s="241" t="inlineStr">
        <is>
          <t>Cycle 7</t>
        </is>
      </c>
      <c r="AC25" s="241" t="inlineStr">
        <is>
          <t>Cycle 7</t>
        </is>
      </c>
      <c r="AD25" s="241" t="inlineStr">
        <is>
          <t>Cycle 7</t>
        </is>
      </c>
      <c r="AE25" s="241" t="inlineStr">
        <is>
          <t>Cycle 7</t>
        </is>
      </c>
      <c r="AF25" s="241" t="inlineStr">
        <is>
          <t>Cycle 8</t>
        </is>
      </c>
      <c r="AG25" s="241" t="inlineStr">
        <is>
          <t>Cycle 8</t>
        </is>
      </c>
      <c r="AH25" s="241" t="inlineStr">
        <is>
          <t>Cycle 8</t>
        </is>
      </c>
      <c r="AI25" s="241" t="inlineStr">
        <is>
          <t>Cycle 8</t>
        </is>
      </c>
      <c r="AJ25" s="241" t="inlineStr">
        <is>
          <t>Cycle 9</t>
        </is>
      </c>
      <c r="AK25" s="241" t="inlineStr">
        <is>
          <t>Cycle 9</t>
        </is>
      </c>
    </row>
    <row r="26" ht="16" customHeight="1" s="239">
      <c r="A26" s="241" t="inlineStr">
        <is>
          <t>Bulls Purchased</t>
        </is>
      </c>
      <c r="B26" s="140" t="n">
        <v>0</v>
      </c>
      <c r="C26" s="140" t="n">
        <v>0</v>
      </c>
      <c r="D26" s="140">
        <f>IFERROR(IF(D25&lt;&gt;"",MAX(0,40-D35),0),"")</f>
        <v/>
      </c>
      <c r="E26" s="140" t="n">
        <v>0</v>
      </c>
      <c r="F26" s="140" t="n">
        <v>0</v>
      </c>
      <c r="G26" s="140" t="n">
        <v>0</v>
      </c>
      <c r="H26" s="140">
        <f>IFERROR(IF(H25&lt;&gt;"",MAX(0,40-H35),0),"")</f>
        <v/>
      </c>
      <c r="I26" s="140" t="n">
        <v>0</v>
      </c>
      <c r="J26" s="140" t="n">
        <v>0</v>
      </c>
      <c r="K26" s="140" t="n">
        <v>0</v>
      </c>
      <c r="L26" s="140">
        <f>IFERROR(IF(L25&lt;&gt;"",MAX(0,40-L35),0),"")</f>
        <v/>
      </c>
      <c r="M26" s="140" t="n">
        <v>0</v>
      </c>
      <c r="N26" s="140" t="n">
        <v>0</v>
      </c>
      <c r="O26" s="140" t="n">
        <v>0</v>
      </c>
      <c r="P26" s="140">
        <f>IFERROR(IF(P25&lt;&gt;"",MAX(0,40-P35),0),"")</f>
        <v/>
      </c>
      <c r="Q26" s="140" t="n">
        <v>0</v>
      </c>
      <c r="R26" s="140" t="n">
        <v>0</v>
      </c>
      <c r="S26" s="140" t="n">
        <v>0</v>
      </c>
      <c r="T26" s="140">
        <f>IFERROR(IF(T25&lt;&gt;"",MAX(0,40-T35),0),"")</f>
        <v/>
      </c>
      <c r="U26" s="140" t="n">
        <v>0</v>
      </c>
      <c r="V26" s="140" t="n">
        <v>0</v>
      </c>
      <c r="W26" s="140" t="n">
        <v>0</v>
      </c>
      <c r="X26" s="140">
        <f>IFERROR(IF(X25&lt;&gt;"",MAX(0,40-X35),0),"")</f>
        <v/>
      </c>
      <c r="Y26" s="140" t="n">
        <v>0</v>
      </c>
      <c r="Z26" s="140" t="n">
        <v>0</v>
      </c>
      <c r="AA26" s="140" t="n">
        <v>0</v>
      </c>
      <c r="AB26" s="140">
        <f>IFERROR(IF(AB25&lt;&gt;"",MAX(0,40-AB35),0),"")</f>
        <v/>
      </c>
      <c r="AC26" s="140" t="n">
        <v>0</v>
      </c>
      <c r="AD26" s="140" t="n">
        <v>0</v>
      </c>
      <c r="AE26" s="140" t="n">
        <v>0</v>
      </c>
      <c r="AF26" s="140">
        <f>IFERROR(IF(AF25&lt;&gt;"",MAX(0,40-AF35),0),"")</f>
        <v/>
      </c>
      <c r="AG26" s="140" t="n">
        <v>0</v>
      </c>
      <c r="AH26" s="140" t="n">
        <v>0</v>
      </c>
      <c r="AI26" s="140" t="n">
        <v>0</v>
      </c>
      <c r="AJ26" s="140">
        <f>IFERROR(IF(AJ25&lt;&gt;"",MAX(0,40-AJ35),0),"")</f>
        <v/>
      </c>
      <c r="AK26" s="140" t="n">
        <v>0</v>
      </c>
    </row>
    <row r="27" ht="16" customHeight="1" s="239">
      <c r="A27" s="241" t="inlineStr">
        <is>
          <t>Bulls Sold</t>
        </is>
      </c>
      <c r="B27" s="140" t="n">
        <v>0</v>
      </c>
      <c r="C27" s="140" t="n">
        <v>0</v>
      </c>
      <c r="D27" s="140" t="n">
        <v>0</v>
      </c>
      <c r="E27" s="140" t="n">
        <v>0</v>
      </c>
      <c r="F27" s="140" t="n">
        <v>0</v>
      </c>
      <c r="G27" s="140" t="n">
        <v>0</v>
      </c>
      <c r="H27" s="140">
        <f>IFERROR(D26*(1-$B$12),"")</f>
        <v/>
      </c>
      <c r="I27" s="140" t="n">
        <v>0</v>
      </c>
      <c r="J27" s="140" t="n">
        <v>0</v>
      </c>
      <c r="K27" s="140" t="n">
        <v>0</v>
      </c>
      <c r="L27" s="140">
        <f>IFERROR(H26*(1-$B$12),"")</f>
        <v/>
      </c>
      <c r="M27" s="140" t="n">
        <v>0</v>
      </c>
      <c r="N27" s="140" t="n">
        <v>0</v>
      </c>
      <c r="O27" s="140" t="n">
        <v>0</v>
      </c>
      <c r="P27" s="140">
        <f>IFERROR(L26*(1-$B$12),"")</f>
        <v/>
      </c>
      <c r="Q27" s="140" t="n">
        <v>0</v>
      </c>
      <c r="R27" s="140" t="n">
        <v>0</v>
      </c>
      <c r="S27" s="140" t="n">
        <v>0</v>
      </c>
      <c r="T27" s="140">
        <f>IFERROR(P26*(1-$B$12),"")</f>
        <v/>
      </c>
      <c r="U27" s="140" t="n">
        <v>0</v>
      </c>
      <c r="V27" s="140" t="n">
        <v>0</v>
      </c>
      <c r="W27" s="140" t="n">
        <v>0</v>
      </c>
      <c r="X27" s="140">
        <f>IFERROR(T26*(1-$B$12),"")</f>
        <v/>
      </c>
      <c r="Y27" s="140" t="n">
        <v>0</v>
      </c>
      <c r="Z27" s="140" t="n">
        <v>0</v>
      </c>
      <c r="AA27" s="140" t="n">
        <v>0</v>
      </c>
      <c r="AB27" s="140">
        <f>IFERROR(X26*(1-$B$12),"")</f>
        <v/>
      </c>
      <c r="AC27" s="140" t="n">
        <v>0</v>
      </c>
      <c r="AD27" s="140" t="n">
        <v>0</v>
      </c>
      <c r="AE27" s="140" t="n">
        <v>0</v>
      </c>
      <c r="AF27" s="140">
        <f>IFERROR(AB26*(1-$B$12),"")</f>
        <v/>
      </c>
      <c r="AG27" s="140" t="n">
        <v>0</v>
      </c>
      <c r="AH27" s="140" t="n">
        <v>0</v>
      </c>
      <c r="AI27" s="140" t="n">
        <v>0</v>
      </c>
      <c r="AJ27" s="140">
        <f>IFERROR(AF26*(1-$B$12),"")</f>
        <v/>
      </c>
      <c r="AK27" s="140" t="n">
        <v>0</v>
      </c>
    </row>
    <row r="28" ht="16" customHeight="1" s="239">
      <c r="A28" s="241" t="inlineStr">
        <is>
          <t>Sale Revenue</t>
        </is>
      </c>
      <c r="B28" s="140">
        <f>IFERROR(B27*$B$11*$B$14,"")</f>
        <v/>
      </c>
      <c r="C28" s="140">
        <f>IFERROR(C27*$B$11*$B$14,"")</f>
        <v/>
      </c>
      <c r="D28" s="140">
        <f>IFERROR(D27*$B$11*$B$14,"")</f>
        <v/>
      </c>
      <c r="E28" s="140">
        <f>IFERROR(E27*$B$11*$B$14,"")</f>
        <v/>
      </c>
      <c r="F28" s="140">
        <f>IFERROR(F27*$B$11*$B$14,"")</f>
        <v/>
      </c>
      <c r="G28" s="140">
        <f>IFERROR(G27*$B$11*$B$14,"")</f>
        <v/>
      </c>
      <c r="H28" s="140">
        <f>IFERROR(H27*$B$11*$B$14,"")</f>
        <v/>
      </c>
      <c r="I28" s="140">
        <f>IFERROR(I27*$B$11*$B$14,"")</f>
        <v/>
      </c>
      <c r="J28" s="140">
        <f>IFERROR(J27*$B$11*$B$14,"")</f>
        <v/>
      </c>
      <c r="K28" s="140">
        <f>IFERROR(K27*$B$11*$B$14,"")</f>
        <v/>
      </c>
      <c r="L28" s="140">
        <f>IFERROR(L27*$B$11*$B$14,"")</f>
        <v/>
      </c>
      <c r="M28" s="140">
        <f>IFERROR(M27*$B$11*$B$14,"")</f>
        <v/>
      </c>
      <c r="N28" s="140">
        <f>IFERROR(N27*$B$11*$B$14,"")</f>
        <v/>
      </c>
      <c r="O28" s="140">
        <f>IFERROR(O27*$B$11*$B$14,"")</f>
        <v/>
      </c>
      <c r="P28" s="140">
        <f>IFERROR(P27*$B$11*$B$14,"")</f>
        <v/>
      </c>
      <c r="Q28" s="140">
        <f>IFERROR(Q27*$B$11*$B$14,"")</f>
        <v/>
      </c>
      <c r="R28" s="140">
        <f>IFERROR(R27*$B$11*$B$14,"")</f>
        <v/>
      </c>
      <c r="S28" s="140">
        <f>IFERROR(S27*$B$11*$B$14,"")</f>
        <v/>
      </c>
      <c r="T28" s="140">
        <f>IFERROR(T27*$B$11*$B$14,"")</f>
        <v/>
      </c>
      <c r="U28" s="140">
        <f>IFERROR(U27*$B$11*$B$14,"")</f>
        <v/>
      </c>
      <c r="V28" s="140">
        <f>IFERROR(V27*$B$11*$B$14,"")</f>
        <v/>
      </c>
      <c r="W28" s="140">
        <f>IFERROR(W27*$B$11*$B$14,"")</f>
        <v/>
      </c>
      <c r="X28" s="140">
        <f>IFERROR(X27*$B$11*$B$14,"")</f>
        <v/>
      </c>
      <c r="Y28" s="140">
        <f>IFERROR(Y27*$B$11*$B$14,"")</f>
        <v/>
      </c>
      <c r="Z28" s="140">
        <f>IFERROR(Z27*$B$11*$B$14,"")</f>
        <v/>
      </c>
      <c r="AA28" s="140">
        <f>IFERROR(AA27*$B$11*$B$14,"")</f>
        <v/>
      </c>
      <c r="AB28" s="140">
        <f>IFERROR(AB27*$B$11*$B$14,"")</f>
        <v/>
      </c>
      <c r="AC28" s="140">
        <f>IFERROR(AC27*$B$11*$B$14,"")</f>
        <v/>
      </c>
      <c r="AD28" s="140">
        <f>IFERROR(AD27*$B$11*$B$14,"")</f>
        <v/>
      </c>
      <c r="AE28" s="140">
        <f>IFERROR(AE27*$B$11*$B$14,"")</f>
        <v/>
      </c>
      <c r="AF28" s="140">
        <f>IFERROR(AF27*$B$11*$B$14,"")</f>
        <v/>
      </c>
      <c r="AG28" s="140">
        <f>IFERROR(AG27*$B$11*$B$14,"")</f>
        <v/>
      </c>
      <c r="AH28" s="140">
        <f>IFERROR(AH27*$B$11*$B$14,"")</f>
        <v/>
      </c>
      <c r="AI28" s="140">
        <f>IFERROR(AI27*$B$11*$B$14,"")</f>
        <v/>
      </c>
      <c r="AJ28" s="140">
        <f>IFERROR(AJ27*$B$11*$B$14,"")</f>
        <v/>
      </c>
      <c r="AK28" s="140">
        <f>IFERROR(AK27*$B$11*$B$14,"")</f>
        <v/>
      </c>
    </row>
    <row r="29" ht="16" customHeight="1" s="239">
      <c r="A29" s="241" t="inlineStr">
        <is>
          <t>Feed Cost</t>
        </is>
      </c>
      <c r="B29" s="140" t="n"/>
      <c r="C29" s="140" t="n"/>
      <c r="D29" s="140" t="n"/>
      <c r="E29" s="140" t="n"/>
      <c r="F29" s="140" t="n"/>
      <c r="G29" s="140" t="n"/>
      <c r="H29" s="140" t="n"/>
      <c r="I29" s="140" t="n"/>
      <c r="J29" s="140" t="n"/>
      <c r="K29" s="140" t="n"/>
      <c r="L29" s="140" t="n"/>
      <c r="M29" s="140" t="n"/>
      <c r="N29" s="140" t="n"/>
      <c r="O29" s="140" t="n"/>
      <c r="P29" s="140" t="n"/>
      <c r="Q29" s="140" t="n"/>
      <c r="R29" s="140" t="n"/>
      <c r="S29" s="140" t="n"/>
      <c r="T29" s="140" t="n"/>
      <c r="U29" s="140" t="n"/>
      <c r="V29" s="140" t="n"/>
      <c r="W29" s="140" t="n"/>
      <c r="X29" s="140" t="n"/>
      <c r="Y29" s="140" t="n"/>
      <c r="Z29" s="140" t="n"/>
      <c r="AA29" s="140" t="n"/>
      <c r="AB29" s="140" t="n"/>
      <c r="AC29" s="140" t="n"/>
      <c r="AD29" s="140" t="n"/>
      <c r="AE29" s="140" t="n"/>
      <c r="AF29" s="140" t="n"/>
      <c r="AG29" s="140" t="n"/>
      <c r="AH29" s="140" t="n"/>
      <c r="AI29" s="140" t="n"/>
      <c r="AJ29" s="140" t="n"/>
      <c r="AK29" s="140" t="n"/>
    </row>
    <row r="30" ht="16" customHeight="1" s="239">
      <c r="A30" s="241" t="inlineStr">
        <is>
          <t>Vet Cost</t>
        </is>
      </c>
      <c r="B30" s="140" t="n"/>
      <c r="C30" s="140" t="n"/>
      <c r="D30" s="140" t="n"/>
      <c r="E30" s="140" t="n"/>
      <c r="F30" s="140" t="n"/>
      <c r="G30" s="140" t="n"/>
      <c r="H30" s="140" t="n"/>
      <c r="I30" s="140" t="n"/>
      <c r="J30" s="140" t="n"/>
      <c r="K30" s="140" t="n"/>
      <c r="L30" s="140" t="n"/>
      <c r="M30" s="140" t="n"/>
      <c r="N30" s="140" t="n"/>
      <c r="O30" s="140" t="n"/>
      <c r="P30" s="140" t="n"/>
      <c r="Q30" s="140" t="n"/>
      <c r="R30" s="140" t="n"/>
      <c r="S30" s="140" t="n"/>
      <c r="T30" s="140" t="n"/>
      <c r="U30" s="140" t="n"/>
      <c r="V30" s="140" t="n"/>
      <c r="W30" s="140" t="n"/>
      <c r="X30" s="140" t="n"/>
      <c r="Y30" s="140" t="n"/>
      <c r="Z30" s="140" t="n"/>
      <c r="AA30" s="140" t="n"/>
      <c r="AB30" s="140" t="n"/>
      <c r="AC30" s="140" t="n"/>
      <c r="AD30" s="140" t="n"/>
      <c r="AE30" s="140" t="n"/>
      <c r="AF30" s="140" t="n"/>
      <c r="AG30" s="140" t="n"/>
      <c r="AH30" s="140" t="n"/>
      <c r="AI30" s="140" t="n"/>
      <c r="AJ30" s="140" t="n"/>
      <c r="AK30" s="140" t="n"/>
    </row>
    <row r="31" ht="16" customHeight="1" s="239">
      <c r="A31" s="241" t="inlineStr">
        <is>
          <t>Labour Cost</t>
        </is>
      </c>
      <c r="B31" s="140" t="n"/>
      <c r="C31" s="140" t="n"/>
      <c r="D31" s="140" t="n"/>
      <c r="E31" s="140" t="n"/>
      <c r="F31" s="140" t="n"/>
      <c r="G31" s="140" t="n"/>
      <c r="H31" s="140" t="n"/>
      <c r="I31" s="140" t="n"/>
      <c r="J31" s="140" t="n"/>
      <c r="K31" s="140" t="n"/>
      <c r="L31" s="140" t="n"/>
      <c r="M31" s="140" t="n"/>
      <c r="N31" s="140" t="n"/>
      <c r="O31" s="140" t="n"/>
      <c r="P31" s="140" t="n"/>
      <c r="Q31" s="140" t="n"/>
      <c r="R31" s="140" t="n"/>
      <c r="S31" s="140" t="n"/>
      <c r="T31" s="140" t="n"/>
      <c r="U31" s="140" t="n"/>
      <c r="V31" s="140" t="n"/>
      <c r="W31" s="140" t="n"/>
      <c r="X31" s="140" t="n"/>
      <c r="Y31" s="140" t="n"/>
      <c r="Z31" s="140" t="n"/>
      <c r="AA31" s="140" t="n"/>
      <c r="AB31" s="140" t="n"/>
      <c r="AC31" s="140" t="n"/>
      <c r="AD31" s="140" t="n"/>
      <c r="AE31" s="140" t="n"/>
      <c r="AF31" s="140" t="n"/>
      <c r="AG31" s="140" t="n"/>
      <c r="AH31" s="140" t="n"/>
      <c r="AI31" s="140" t="n"/>
      <c r="AJ31" s="140" t="n"/>
      <c r="AK31" s="140" t="n"/>
    </row>
    <row r="32" ht="16" customHeight="1" s="239">
      <c r="A32" s="241" t="inlineStr">
        <is>
          <t>Operating Cash Flow</t>
        </is>
      </c>
      <c r="B32" s="140">
        <f>IFERROR(B28-B29-B30-B31,"")</f>
        <v/>
      </c>
      <c r="C32" s="140">
        <f>IFERROR(C28-C29-C30-C31,"")</f>
        <v/>
      </c>
      <c r="D32" s="140">
        <f>IFERROR(D28-D29-D30-D31,"")</f>
        <v/>
      </c>
      <c r="E32" s="140">
        <f>IFERROR(E28-E29-E30-E31,"")</f>
        <v/>
      </c>
      <c r="F32" s="140">
        <f>IFERROR(F28-F29-F30-F31,"")</f>
        <v/>
      </c>
      <c r="G32" s="140">
        <f>IFERROR(G28-G29-G30-G31,"")</f>
        <v/>
      </c>
      <c r="H32" s="140">
        <f>IFERROR(H28-H29-H30-H31,"")</f>
        <v/>
      </c>
      <c r="I32" s="140">
        <f>IFERROR(I28-I29-I30-I31,"")</f>
        <v/>
      </c>
      <c r="J32" s="140">
        <f>IFERROR(J28-J29-J30-J31,"")</f>
        <v/>
      </c>
      <c r="K32" s="140">
        <f>IFERROR(K28-K29-K30-K31,"")</f>
        <v/>
      </c>
      <c r="L32" s="140">
        <f>IFERROR(L28-L29-L30-L31,"")</f>
        <v/>
      </c>
      <c r="M32" s="140">
        <f>IFERROR(M28-M29-M30-M31,"")</f>
        <v/>
      </c>
      <c r="N32" s="140">
        <f>IFERROR(N28-N29-N30-N31,"")</f>
        <v/>
      </c>
      <c r="O32" s="140">
        <f>IFERROR(O28-O29-O30-O31,"")</f>
        <v/>
      </c>
      <c r="P32" s="140">
        <f>IFERROR(P28-P29-P30-P31,"")</f>
        <v/>
      </c>
      <c r="Q32" s="140">
        <f>IFERROR(Q28-Q29-Q30-Q31,"")</f>
        <v/>
      </c>
      <c r="R32" s="140">
        <f>IFERROR(R28-R29-R30-R31,"")</f>
        <v/>
      </c>
      <c r="S32" s="140">
        <f>IFERROR(S28-S29-S30-S31,"")</f>
        <v/>
      </c>
      <c r="T32" s="140">
        <f>IFERROR(T28-T29-T30-T31,"")</f>
        <v/>
      </c>
      <c r="U32" s="140">
        <f>IFERROR(U28-U29-U30-U31,"")</f>
        <v/>
      </c>
      <c r="V32" s="140">
        <f>IFERROR(V28-V29-V30-V31,"")</f>
        <v/>
      </c>
      <c r="W32" s="140">
        <f>IFERROR(W28-W29-W30-W31,"")</f>
        <v/>
      </c>
      <c r="X32" s="140">
        <f>IFERROR(X28-X29-X30-X31,"")</f>
        <v/>
      </c>
      <c r="Y32" s="140">
        <f>IFERROR(Y28-Y29-Y30-Y31,"")</f>
        <v/>
      </c>
      <c r="Z32" s="140">
        <f>IFERROR(Z28-Z29-Z30-Z31,"")</f>
        <v/>
      </c>
      <c r="AA32" s="140">
        <f>IFERROR(AA28-AA29-AA30-AA31,"")</f>
        <v/>
      </c>
      <c r="AB32" s="140">
        <f>IFERROR(AB28-AB29-AB30-AB31,"")</f>
        <v/>
      </c>
      <c r="AC32" s="140">
        <f>IFERROR(AC28-AC29-AC30-AC31,"")</f>
        <v/>
      </c>
      <c r="AD32" s="140">
        <f>IFERROR(AD28-AD29-AD30-AD31,"")</f>
        <v/>
      </c>
      <c r="AE32" s="140">
        <f>IFERROR(AE28-AE29-AE30-AE31,"")</f>
        <v/>
      </c>
      <c r="AF32" s="140">
        <f>IFERROR(AF28-AF29-AF30-AF31,"")</f>
        <v/>
      </c>
      <c r="AG32" s="140">
        <f>IFERROR(AG28-AG29-AG30-AG31,"")</f>
        <v/>
      </c>
      <c r="AH32" s="140">
        <f>IFERROR(AH28-AH29-AH30-AH31,"")</f>
        <v/>
      </c>
      <c r="AI32" s="140">
        <f>IFERROR(AI28-AI29-AI30-AI31,"")</f>
        <v/>
      </c>
      <c r="AJ32" s="140">
        <f>IFERROR(AJ28-AJ29-AJ30-AJ31,"")</f>
        <v/>
      </c>
      <c r="AK32" s="140">
        <f>IFERROR(AK28-AK29-AK30-AK31,"")</f>
        <v/>
      </c>
    </row>
    <row r="33" ht="16" customHeight="1" s="239">
      <c r="A33" s="157" t="inlineStr">
        <is>
          <t>Bull Purchase Cost</t>
        </is>
      </c>
      <c r="B33" s="232">
        <f>IFERROR(B26*ASSUMPTIONS!$B$109,"")</f>
        <v/>
      </c>
      <c r="C33" s="232">
        <f>IFERROR(C26*ASSUMPTIONS!$B$109,"")</f>
        <v/>
      </c>
      <c r="D33" s="232">
        <f>IFERROR(D26*ASSUMPTIONS!$B$109,"")</f>
        <v/>
      </c>
      <c r="E33" s="232">
        <f>IFERROR(E26*ASSUMPTIONS!$B$109,"")</f>
        <v/>
      </c>
      <c r="F33" s="232">
        <f>IFERROR(F26*ASSUMPTIONS!$B$109,"")</f>
        <v/>
      </c>
      <c r="G33" s="232">
        <f>IFERROR(G26*ASSUMPTIONS!$B$109,"")</f>
        <v/>
      </c>
      <c r="H33" s="232">
        <f>IFERROR(H26*ASSUMPTIONS!$B$109,"")</f>
        <v/>
      </c>
      <c r="I33" s="232">
        <f>IFERROR(I26*ASSUMPTIONS!$B$109,"")</f>
        <v/>
      </c>
      <c r="J33" s="232">
        <f>IFERROR(J26*ASSUMPTIONS!$B$109,"")</f>
        <v/>
      </c>
      <c r="K33" s="232">
        <f>IFERROR(K26*ASSUMPTIONS!$B$109,"")</f>
        <v/>
      </c>
      <c r="L33" s="232">
        <f>IFERROR(L26*ASSUMPTIONS!$B$109,"")</f>
        <v/>
      </c>
      <c r="M33" s="232">
        <f>IFERROR(M26*ASSUMPTIONS!$B$109,"")</f>
        <v/>
      </c>
      <c r="N33" s="232">
        <f>IFERROR(N26*ASSUMPTIONS!$B$109,"")</f>
        <v/>
      </c>
      <c r="O33" s="232">
        <f>IFERROR(O26*ASSUMPTIONS!$B$109,"")</f>
        <v/>
      </c>
      <c r="P33" s="232">
        <f>IFERROR(P26*ASSUMPTIONS!$B$109,"")</f>
        <v/>
      </c>
      <c r="Q33" s="232">
        <f>IFERROR(Q26*ASSUMPTIONS!$B$109,"")</f>
        <v/>
      </c>
      <c r="R33" s="232">
        <f>IFERROR(R26*ASSUMPTIONS!$B$109,"")</f>
        <v/>
      </c>
      <c r="S33" s="232">
        <f>IFERROR(S26*ASSUMPTIONS!$B$109,"")</f>
        <v/>
      </c>
      <c r="T33" s="232">
        <f>IFERROR(T26*ASSUMPTIONS!$B$109,"")</f>
        <v/>
      </c>
      <c r="U33" s="232">
        <f>IFERROR(U26*ASSUMPTIONS!$B$109,"")</f>
        <v/>
      </c>
      <c r="V33" s="232">
        <f>IFERROR(V26*ASSUMPTIONS!$B$109,"")</f>
        <v/>
      </c>
      <c r="W33" s="232">
        <f>IFERROR(W26*ASSUMPTIONS!$B$109,"")</f>
        <v/>
      </c>
      <c r="X33" s="232">
        <f>IFERROR(X26*ASSUMPTIONS!$B$109,"")</f>
        <v/>
      </c>
      <c r="Y33" s="232">
        <f>IFERROR(Y26*ASSUMPTIONS!$B$109,"")</f>
        <v/>
      </c>
      <c r="Z33" s="232">
        <f>IFERROR(Z26*ASSUMPTIONS!$B$109,"")</f>
        <v/>
      </c>
      <c r="AA33" s="232">
        <f>IFERROR(AA26*ASSUMPTIONS!$B$109,"")</f>
        <v/>
      </c>
      <c r="AB33" s="232">
        <f>IFERROR(AB26*ASSUMPTIONS!$B$109,"")</f>
        <v/>
      </c>
      <c r="AC33" s="232">
        <f>IFERROR(AC26*ASSUMPTIONS!$B$109,"")</f>
        <v/>
      </c>
      <c r="AD33" s="232">
        <f>IFERROR(AD26*ASSUMPTIONS!$B$109,"")</f>
        <v/>
      </c>
      <c r="AE33" s="232">
        <f>IFERROR(AE26*ASSUMPTIONS!$B$109,"")</f>
        <v/>
      </c>
      <c r="AF33" s="232">
        <f>IFERROR(AF26*ASSUMPTIONS!$B$109,"")</f>
        <v/>
      </c>
      <c r="AG33" s="232">
        <f>IFERROR(AG26*ASSUMPTIONS!$B$109,"")</f>
        <v/>
      </c>
      <c r="AH33" s="232">
        <f>IFERROR(AH26*ASSUMPTIONS!$B$109,"")</f>
        <v/>
      </c>
      <c r="AI33" s="232">
        <f>IFERROR(AI26*ASSUMPTIONS!$B$109,"")</f>
        <v/>
      </c>
      <c r="AJ33" s="232">
        <f>IFERROR(AJ26*ASSUMPTIONS!$B$109,"")</f>
        <v/>
      </c>
      <c r="AK33" s="232">
        <f>IFERROR(AK26*ASSUMPTIONS!$B$109,"")</f>
        <v/>
      </c>
    </row>
    <row r="34" ht="32" customHeight="1" s="239">
      <c r="A34" s="157" t="inlineStr">
        <is>
          <t>Operating Cash Flow After Purchase Cost</t>
        </is>
      </c>
      <c r="B34" s="158">
        <f>IFERROR(B32-B33,"")</f>
        <v/>
      </c>
      <c r="C34" s="158">
        <f>IFERROR(C32-C33,"")</f>
        <v/>
      </c>
      <c r="D34" s="158">
        <f>IFERROR(D32-D33,"")</f>
        <v/>
      </c>
      <c r="E34" s="158">
        <f>IFERROR(E32-E33,"")</f>
        <v/>
      </c>
      <c r="F34" s="158">
        <f>IFERROR(F32-F33,"")</f>
        <v/>
      </c>
      <c r="G34" s="158">
        <f>IFERROR(G32-G33,"")</f>
        <v/>
      </c>
      <c r="H34" s="158">
        <f>IFERROR(H32-H33,"")</f>
        <v/>
      </c>
      <c r="I34" s="158">
        <f>IFERROR(I32-I33,"")</f>
        <v/>
      </c>
      <c r="J34" s="158">
        <f>IFERROR(J32-J33,"")</f>
        <v/>
      </c>
      <c r="K34" s="158">
        <f>IFERROR(K32-K33,"")</f>
        <v/>
      </c>
      <c r="L34" s="158">
        <f>IFERROR(L32-L33,"")</f>
        <v/>
      </c>
      <c r="M34" s="158">
        <f>IFERROR(M32-M33,"")</f>
        <v/>
      </c>
      <c r="N34" s="158">
        <f>IFERROR(N32-N33,"")</f>
        <v/>
      </c>
      <c r="O34" s="158">
        <f>IFERROR(O32-O33,"")</f>
        <v/>
      </c>
      <c r="P34" s="158">
        <f>IFERROR(P32-P33,"")</f>
        <v/>
      </c>
      <c r="Q34" s="158">
        <f>IFERROR(Q32-Q33,"")</f>
        <v/>
      </c>
      <c r="R34" s="158">
        <f>IFERROR(R32-R33,"")</f>
        <v/>
      </c>
      <c r="S34" s="158">
        <f>IFERROR(S32-S33,"")</f>
        <v/>
      </c>
      <c r="T34" s="158">
        <f>IFERROR(T32-T33,"")</f>
        <v/>
      </c>
      <c r="U34" s="158">
        <f>IFERROR(U32-U33,"")</f>
        <v/>
      </c>
      <c r="V34" s="158">
        <f>IFERROR(V32-V33,"")</f>
        <v/>
      </c>
      <c r="W34" s="158">
        <f>IFERROR(W32-W33,"")</f>
        <v/>
      </c>
      <c r="X34" s="158">
        <f>IFERROR(X32-X33,"")</f>
        <v/>
      </c>
      <c r="Y34" s="158">
        <f>IFERROR(Y32-Y33,"")</f>
        <v/>
      </c>
      <c r="Z34" s="158">
        <f>IFERROR(Z32-Z33,"")</f>
        <v/>
      </c>
      <c r="AA34" s="158">
        <f>IFERROR(AA32-AA33,"")</f>
        <v/>
      </c>
      <c r="AB34" s="158">
        <f>IFERROR(AB32-AB33,"")</f>
        <v/>
      </c>
      <c r="AC34" s="158">
        <f>IFERROR(AC32-AC33,"")</f>
        <v/>
      </c>
      <c r="AD34" s="158">
        <f>IFERROR(AD32-AD33,"")</f>
        <v/>
      </c>
      <c r="AE34" s="158">
        <f>IFERROR(AE32-AE33,"")</f>
        <v/>
      </c>
      <c r="AF34" s="158">
        <f>IFERROR(AF32-AF33,"")</f>
        <v/>
      </c>
      <c r="AG34" s="158">
        <f>IFERROR(AG32-AG33,"")</f>
        <v/>
      </c>
      <c r="AH34" s="158">
        <f>IFERROR(AH32-AH33,"")</f>
        <v/>
      </c>
      <c r="AI34" s="158">
        <f>IFERROR(AI32-AI33,"")</f>
        <v/>
      </c>
      <c r="AJ34" s="158">
        <f>IFERROR(AJ32-AJ33,"")</f>
        <v/>
      </c>
      <c r="AK34" s="158">
        <f>IFERROR(AK32-AK33,"")</f>
        <v/>
      </c>
    </row>
    <row r="35">
      <c r="A35" t="inlineStr">
        <is>
          <t>Dairy Retained Offset</t>
        </is>
      </c>
      <c r="B35" s="233" t="n">
        <v>0</v>
      </c>
      <c r="C35" s="233" t="n">
        <v>0</v>
      </c>
      <c r="D35" s="233">
        <f>IFERROR(IF(D25&lt;&gt;"",B$6/3,0),"")</f>
        <v/>
      </c>
      <c r="E35" s="233" t="n">
        <v>0</v>
      </c>
      <c r="F35" s="233" t="n">
        <v>0</v>
      </c>
      <c r="G35" s="233" t="n">
        <v>0</v>
      </c>
      <c r="H35" s="233">
        <f>IFERROR(IF(H25&lt;&gt;"",B$6/3,0),"")</f>
        <v/>
      </c>
      <c r="I35" s="233" t="n">
        <v>0</v>
      </c>
      <c r="J35" s="233" t="n">
        <v>0</v>
      </c>
      <c r="K35" s="233" t="n">
        <v>0</v>
      </c>
      <c r="L35" s="233">
        <f>IFERROR(IF(L25&lt;&gt;"",B$6/3,0),"")</f>
        <v/>
      </c>
      <c r="M35" s="233" t="n">
        <v>0</v>
      </c>
      <c r="N35" s="233" t="n">
        <v>0</v>
      </c>
      <c r="O35" s="233" t="n">
        <v>0</v>
      </c>
      <c r="P35" s="233">
        <f>IFERROR(IF(P25&lt;&gt;"",C$6/3,0),"")</f>
        <v/>
      </c>
      <c r="Q35" s="233" t="n">
        <v>0</v>
      </c>
      <c r="R35" s="233" t="n">
        <v>0</v>
      </c>
      <c r="S35" s="233" t="n">
        <v>0</v>
      </c>
      <c r="T35" s="233">
        <f>IFERROR(IF(T25&lt;&gt;"",C$6/3,0),"")</f>
        <v/>
      </c>
      <c r="U35" s="233" t="n">
        <v>0</v>
      </c>
      <c r="V35" s="233" t="n">
        <v>0</v>
      </c>
      <c r="W35" s="233" t="n">
        <v>0</v>
      </c>
      <c r="X35" s="233">
        <f>IFERROR(IF(X25&lt;&gt;"",C$6/3,0),"")</f>
        <v/>
      </c>
      <c r="Y35" s="233" t="n">
        <v>0</v>
      </c>
      <c r="Z35" s="233" t="n">
        <v>0</v>
      </c>
      <c r="AA35" s="233" t="n">
        <v>0</v>
      </c>
      <c r="AB35" s="233">
        <f>IFERROR(IF(AB25&lt;&gt;"",D$6/3,0),"")</f>
        <v/>
      </c>
      <c r="AC35" s="233" t="n">
        <v>0</v>
      </c>
      <c r="AD35" s="233" t="n">
        <v>0</v>
      </c>
      <c r="AE35" s="233" t="n">
        <v>0</v>
      </c>
      <c r="AF35" s="233">
        <f>IFERROR(IF(AF25&lt;&gt;"",D$6/3,0),"")</f>
        <v/>
      </c>
      <c r="AG35" s="233" t="n">
        <v>0</v>
      </c>
      <c r="AH35" s="233" t="n">
        <v>0</v>
      </c>
      <c r="AI35" s="233" t="n">
        <v>0</v>
      </c>
      <c r="AJ35" s="233">
        <f>IFERROR(IF(AJ25&lt;&gt;"",D$6/3,0),"")</f>
        <v/>
      </c>
      <c r="AK35" s="233" t="n">
        <v>0</v>
      </c>
    </row>
    <row r="36" ht="144" customHeight="1" s="239">
      <c r="A36" t="inlineStr">
        <is>
          <t>Cycle Purchase Logic</t>
        </is>
      </c>
      <c r="B36" s="128" t="inlineStr">
        <is>
          <t>Monthly cycle purchases reduce the 40-bull cycle target by one-third of the annual dairy retained young males at each cycle start.</t>
        </is>
      </c>
    </row>
    <row r="40">
      <c r="A40" s="265" t="inlineStr">
        <is>
          <t>Manure Schedule - Version 2 Circular Economy</t>
        </is>
      </c>
    </row>
    <row r="41">
      <c r="A41" s="265" t="inlineStr">
        <is>
          <t>Line Item</t>
        </is>
      </c>
      <c r="B41" s="265" t="inlineStr">
        <is>
          <t>Y1</t>
        </is>
      </c>
      <c r="C41" s="265" t="inlineStr">
        <is>
          <t>Y2</t>
        </is>
      </c>
      <c r="D41" s="265" t="inlineStr">
        <is>
          <t>Y3</t>
        </is>
      </c>
      <c r="E41" s="265" t="inlineStr">
        <is>
          <t>Y4</t>
        </is>
      </c>
      <c r="F41" s="265" t="inlineStr">
        <is>
          <t>Y5</t>
        </is>
      </c>
      <c r="G41" s="265" t="inlineStr">
        <is>
          <t>Y6</t>
        </is>
      </c>
      <c r="H41" s="265" t="inlineStr">
        <is>
          <t>Y7</t>
        </is>
      </c>
      <c r="I41" s="265" t="inlineStr">
        <is>
          <t>Y8</t>
        </is>
      </c>
      <c r="J41" s="265" t="inlineStr">
        <is>
          <t>Y9</t>
        </is>
      </c>
      <c r="K41" s="265" t="inlineStr">
        <is>
          <t>Y10</t>
        </is>
      </c>
    </row>
    <row r="42">
      <c r="A42" s="394" t="inlineStr">
        <is>
          <t>Manure Produced</t>
        </is>
      </c>
      <c r="B42">
        <f>IFERROR(B7*140,"")</f>
        <v/>
      </c>
      <c r="C42">
        <f>IFERROR(C7*140,"")</f>
        <v/>
      </c>
      <c r="D42">
        <f>IFERROR(D7*140,"")</f>
        <v/>
      </c>
      <c r="E42">
        <f>IFERROR(E7*140,"")</f>
        <v/>
      </c>
      <c r="F42">
        <f>IFERROR(F7*140,"")</f>
        <v/>
      </c>
      <c r="G42">
        <f>IFERROR(G7*140,"")</f>
        <v/>
      </c>
      <c r="H42">
        <f>IFERROR(H7*140,"")</f>
        <v/>
      </c>
      <c r="I42">
        <f>IFERROR(I7*140,"")</f>
        <v/>
      </c>
      <c r="J42">
        <f>IFERROR(J7*140,"")</f>
        <v/>
      </c>
      <c r="K42">
        <f>IFERROR(K7*140,"")</f>
        <v/>
      </c>
    </row>
    <row r="43">
      <c r="A43" s="394" t="inlineStr">
        <is>
          <t>Feed Farm Transfer</t>
        </is>
      </c>
      <c r="B43">
        <f>IFERROR(B42*ASSUMPTIONS!$N$12,"")</f>
        <v/>
      </c>
      <c r="C43">
        <f>IFERROR(C42*ASSUMPTIONS!$N$12,"")</f>
        <v/>
      </c>
      <c r="D43">
        <f>IFERROR(D42*ASSUMPTIONS!$N$12,"")</f>
        <v/>
      </c>
      <c r="E43">
        <f>IFERROR(E42*ASSUMPTIONS!$N$12,"")</f>
        <v/>
      </c>
      <c r="F43">
        <f>IFERROR(F42*ASSUMPTIONS!$N$12,"")</f>
        <v/>
      </c>
      <c r="G43">
        <f>IFERROR(G42*ASSUMPTIONS!$N$12,"")</f>
        <v/>
      </c>
      <c r="H43">
        <f>IFERROR(H42*ASSUMPTIONS!$N$12,"")</f>
        <v/>
      </c>
      <c r="I43">
        <f>IFERROR(I42*ASSUMPTIONS!$N$12,"")</f>
        <v/>
      </c>
      <c r="J43">
        <f>IFERROR(J42*ASSUMPTIONS!$N$12,"")</f>
        <v/>
      </c>
      <c r="K43">
        <f>IFERROR(K42*ASSUMPTIONS!$N$12,"")</f>
        <v/>
      </c>
    </row>
    <row r="44">
      <c r="A44" s="394" t="inlineStr">
        <is>
          <t>Remaining After Feed Farm</t>
        </is>
      </c>
      <c r="B44">
        <f>IFERROR(B42-B43,"")</f>
        <v/>
      </c>
      <c r="C44">
        <f>IFERROR(C42-C43,"")</f>
        <v/>
      </c>
      <c r="D44">
        <f>IFERROR(D42-D43,"")</f>
        <v/>
      </c>
      <c r="E44">
        <f>IFERROR(E42-E43,"")</f>
        <v/>
      </c>
      <c r="F44">
        <f>IFERROR(F42-F43,"")</f>
        <v/>
      </c>
      <c r="G44">
        <f>IFERROR(G42-G43,"")</f>
        <v/>
      </c>
      <c r="H44">
        <f>IFERROR(H42-H43,"")</f>
        <v/>
      </c>
      <c r="I44">
        <f>IFERROR(I42-I43,"")</f>
        <v/>
      </c>
      <c r="J44">
        <f>IFERROR(J42-J43,"")</f>
        <v/>
      </c>
      <c r="K44">
        <f>IFERROR(K42-K43,"")</f>
        <v/>
      </c>
    </row>
    <row r="45">
      <c r="A45" s="394" t="inlineStr">
        <is>
          <t>Biodigester Allocation</t>
        </is>
      </c>
      <c r="B45">
        <f>IFERROR(MIN(B44,ASSUMPTIONS!$N$13*IF((B42+DAIRY!B22)=0,0,B42/(B42+DAIRY!B22))),"")</f>
        <v/>
      </c>
      <c r="C45">
        <f>IFERROR(MIN(C44,ASSUMPTIONS!$N$13*IF((C42+DAIRY!C22)=0,0,C42/(C42+DAIRY!C22))),"")</f>
        <v/>
      </c>
      <c r="D45">
        <f>IFERROR(MIN(D44,ASSUMPTIONS!$N$13*IF((D42+DAIRY!D22)=0,0,D42/(D42+DAIRY!D22))),"")</f>
        <v/>
      </c>
      <c r="E45">
        <f>IFERROR(MIN(E44,ASSUMPTIONS!$N$13*IF((E42+DAIRY!E22)=0,0,E42/(E42+DAIRY!E22))),"")</f>
        <v/>
      </c>
      <c r="F45">
        <f>IFERROR(MIN(F44,ASSUMPTIONS!$N$13*IF((F42+DAIRY!F22)=0,0,F42/(F42+DAIRY!F22))),"")</f>
        <v/>
      </c>
      <c r="G45">
        <f>IFERROR(MIN(G44,ASSUMPTIONS!$N$13*IF((G42+DAIRY!G22)=0,0,G42/(G42+DAIRY!G22))),"")</f>
        <v/>
      </c>
      <c r="H45">
        <f>IFERROR(MIN(H44,ASSUMPTIONS!$N$13*IF((H42+DAIRY!H22)=0,0,H42/(H42+DAIRY!H22))),"")</f>
        <v/>
      </c>
      <c r="I45">
        <f>IFERROR(MIN(I44,ASSUMPTIONS!$N$13*IF((I42+DAIRY!I22)=0,0,I42/(I42+DAIRY!I22))),"")</f>
        <v/>
      </c>
      <c r="J45">
        <f>IFERROR(MIN(J44,ASSUMPTIONS!$N$13*IF((J42+DAIRY!J22)=0,0,J42/(J42+DAIRY!J22))),"")</f>
        <v/>
      </c>
      <c r="K45">
        <f>IFERROR(MIN(K44,ASSUMPTIONS!$N$13*IF((K42+DAIRY!K22)=0,0,K42/(K42+DAIRY!K22))),"")</f>
        <v/>
      </c>
    </row>
    <row r="46">
      <c r="A46" s="394" t="inlineStr">
        <is>
          <t>External Sales</t>
        </is>
      </c>
      <c r="B46">
        <f>IFERROR(MAX(0,B42-B43-B45),"")</f>
        <v/>
      </c>
      <c r="C46">
        <f>IFERROR(MAX(0,C42-C43-C45),"")</f>
        <v/>
      </c>
      <c r="D46">
        <f>IFERROR(MAX(0,D42-D43-D45),"")</f>
        <v/>
      </c>
      <c r="E46">
        <f>IFERROR(MAX(0,E42-E43-E45),"")</f>
        <v/>
      </c>
      <c r="F46">
        <f>IFERROR(MAX(0,F42-F43-F45),"")</f>
        <v/>
      </c>
      <c r="G46">
        <f>IFERROR(MAX(0,G42-G43-G45),"")</f>
        <v/>
      </c>
      <c r="H46">
        <f>IFERROR(MAX(0,H42-H43-H45),"")</f>
        <v/>
      </c>
      <c r="I46">
        <f>IFERROR(MAX(0,I42-I43-I45),"")</f>
        <v/>
      </c>
      <c r="J46">
        <f>IFERROR(MAX(0,J42-J43-J45),"")</f>
        <v/>
      </c>
      <c r="K46">
        <f>IFERROR(MAX(0,K42-K43-K45),"")</f>
        <v/>
      </c>
    </row>
    <row r="47">
      <c r="A47" s="394" t="inlineStr">
        <is>
          <t>External Manure Revenue</t>
        </is>
      </c>
      <c r="B47">
        <f>IFERROR(B46*ASSUMPTIONS!$N$14,"")</f>
        <v/>
      </c>
      <c r="C47">
        <f>IFERROR(C46*ASSUMPTIONS!$N$14,"")</f>
        <v/>
      </c>
      <c r="D47">
        <f>IFERROR(D46*ASSUMPTIONS!$N$14,"")</f>
        <v/>
      </c>
      <c r="E47">
        <f>IFERROR(E46*ASSUMPTIONS!$N$14,"")</f>
        <v/>
      </c>
      <c r="F47">
        <f>IFERROR(F46*ASSUMPTIONS!$N$14,"")</f>
        <v/>
      </c>
      <c r="G47">
        <f>IFERROR(G46*ASSUMPTIONS!$N$14,"")</f>
        <v/>
      </c>
      <c r="H47">
        <f>IFERROR(H46*ASSUMPTIONS!$N$14,"")</f>
        <v/>
      </c>
      <c r="I47">
        <f>IFERROR(I46*ASSUMPTIONS!$N$14,"")</f>
        <v/>
      </c>
      <c r="J47">
        <f>IFERROR(J46*ASSUMPTIONS!$N$14,"")</f>
        <v/>
      </c>
      <c r="K47">
        <f>IFERROR(K46*ASSUMPTIONS!$N$14,"")</f>
        <v/>
      </c>
    </row>
    <row r="48">
      <c r="A48" s="394" t="inlineStr">
        <is>
          <t>Fertilizer Economic Benefit</t>
        </is>
      </c>
      <c r="B48">
        <f>IFERROR(FEED_FARM!B196*(B43/MAX(1,FEED_FARM!B192)),"")</f>
        <v/>
      </c>
      <c r="C48">
        <f>IFERROR(FEED_FARM!C196*(C43/MAX(1,FEED_FARM!C192)),"")</f>
        <v/>
      </c>
      <c r="D48">
        <f>IFERROR(FEED_FARM!D196*(D43/MAX(1,FEED_FARM!D192)),"")</f>
        <v/>
      </c>
      <c r="E48">
        <f>IFERROR(FEED_FARM!E196*(E43/MAX(1,FEED_FARM!E192)),"")</f>
        <v/>
      </c>
      <c r="F48">
        <f>IFERROR(FEED_FARM!F196*(F43/MAX(1,FEED_FARM!F192)),"")</f>
        <v/>
      </c>
      <c r="G48">
        <f>IFERROR(FEED_FARM!G196*(G43/MAX(1,FEED_FARM!G192)),"")</f>
        <v/>
      </c>
      <c r="H48">
        <f>IFERROR(FEED_FARM!H196*(H43/MAX(1,FEED_FARM!H192)),"")</f>
        <v/>
      </c>
      <c r="I48">
        <f>IFERROR(FEED_FARM!I196*(I43/MAX(1,FEED_FARM!I192)),"")</f>
        <v/>
      </c>
      <c r="J48">
        <f>IFERROR(FEED_FARM!J196*(J43/MAX(1,FEED_FARM!J192)),"")</f>
        <v/>
      </c>
      <c r="K48">
        <f>IFERROR(FEED_FARM!K196*(K43/MAX(1,FEED_FARM!K192)),"")</f>
        <v/>
      </c>
    </row>
    <row r="49">
      <c r="A49" s="394" t="inlineStr">
        <is>
          <t>Biogas Economic Benefit</t>
        </is>
      </c>
      <c r="B49">
        <f>IFERROR((OPEX!B35+OPEX!B36+OPEX!B37)*(B45/MAX(1,B45+DAIRY!B25)),"")</f>
        <v/>
      </c>
      <c r="C49">
        <f>IFERROR((OPEX!C35+OPEX!C36+OPEX!C37)*(C45/MAX(1,C45+DAIRY!C25)),"")</f>
        <v/>
      </c>
      <c r="D49">
        <f>IFERROR((OPEX!D35+OPEX!D36+OPEX!D37)*(D45/MAX(1,D45+DAIRY!D25)),"")</f>
        <v/>
      </c>
      <c r="E49">
        <f>IFERROR((OPEX!E35+OPEX!E36+OPEX!E37)*(E45/MAX(1,E45+DAIRY!E25)),"")</f>
        <v/>
      </c>
      <c r="F49">
        <f>IFERROR((OPEX!F35+OPEX!F36+OPEX!F37)*(F45/MAX(1,F45+DAIRY!F25)),"")</f>
        <v/>
      </c>
      <c r="G49">
        <f>IFERROR((OPEX!G35+OPEX!G36+OPEX!G37)*(G45/MAX(1,G45+DAIRY!G25)),"")</f>
        <v/>
      </c>
      <c r="H49">
        <f>IFERROR((OPEX!H35+OPEX!H36+OPEX!H37)*(H45/MAX(1,H45+DAIRY!H25)),"")</f>
        <v/>
      </c>
      <c r="I49">
        <f>IFERROR((OPEX!I35+OPEX!I36+OPEX!I37)*(I45/MAX(1,I45+DAIRY!I25)),"")</f>
        <v/>
      </c>
      <c r="J49">
        <f>IFERROR((OPEX!J35+OPEX!J36+OPEX!J37)*(J45/MAX(1,J45+DAIRY!J25)),"")</f>
        <v/>
      </c>
      <c r="K49">
        <f>IFERROR((OPEX!K35+OPEX!K36+OPEX!K37)*(K45/MAX(1,K45+DAIRY!K25)),"")</f>
        <v/>
      </c>
    </row>
    <row r="50">
      <c r="A50" s="393" t="inlineStr">
        <is>
          <t>Total Manure Economic Benefit</t>
        </is>
      </c>
      <c r="B50">
        <f>IFERROR(SUM(B47:B49),"")</f>
        <v/>
      </c>
      <c r="C50">
        <f>IFERROR(SUM(C47:C49),"")</f>
        <v/>
      </c>
      <c r="D50">
        <f>IFERROR(SUM(D47:D49),"")</f>
        <v/>
      </c>
      <c r="E50">
        <f>IFERROR(SUM(E47:E49),"")</f>
        <v/>
      </c>
      <c r="F50">
        <f>IFERROR(SUM(F47:F49),"")</f>
        <v/>
      </c>
      <c r="G50">
        <f>IFERROR(SUM(G47:G49),"")</f>
        <v/>
      </c>
      <c r="H50">
        <f>IFERROR(SUM(H47:H49),"")</f>
        <v/>
      </c>
      <c r="I50">
        <f>IFERROR(SUM(I47:I49),"")</f>
        <v/>
      </c>
      <c r="J50">
        <f>IFERROR(SUM(J47:J49),"")</f>
        <v/>
      </c>
      <c r="K50">
        <f>IFERROR(SUM(K47:K49),"")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K2"/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30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K1"/>
    </sheetView>
  </sheetViews>
  <sheetFormatPr baseColWidth="10" defaultColWidth="8.83203125" defaultRowHeight="15"/>
  <cols>
    <col width="30" customWidth="1" style="239" min="1" max="1"/>
    <col width="15" customWidth="1" style="239" min="2" max="11"/>
  </cols>
  <sheetData>
    <row r="1" ht="21" customHeight="1" s="239">
      <c r="A1" s="268" t="inlineStr">
        <is>
          <t>Logistics &amp; Marketing Segment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1" t="n"/>
    </row>
    <row r="2">
      <c r="A2" s="269" t="inlineStr">
        <is>
          <t>Internal cold-chain services, external logistics revenue, cost-plus charge-out, and segment CFADS.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1" t="n"/>
    </row>
    <row r="3">
      <c r="A3" s="119" t="inlineStr">
        <is>
          <t>Line Item</t>
        </is>
      </c>
      <c r="B3" s="119" t="inlineStr">
        <is>
          <t>Y1</t>
        </is>
      </c>
      <c r="C3" s="119" t="inlineStr">
        <is>
          <t>Y2</t>
        </is>
      </c>
      <c r="D3" s="119" t="inlineStr">
        <is>
          <t>Y3</t>
        </is>
      </c>
      <c r="E3" s="119" t="inlineStr">
        <is>
          <t>Y4</t>
        </is>
      </c>
      <c r="F3" s="119" t="inlineStr">
        <is>
          <t>Y5</t>
        </is>
      </c>
      <c r="G3" s="119" t="inlineStr">
        <is>
          <t>Y6</t>
        </is>
      </c>
      <c r="H3" s="119" t="inlineStr">
        <is>
          <t>Y7</t>
        </is>
      </c>
      <c r="I3" s="119" t="inlineStr">
        <is>
          <t>Y8</t>
        </is>
      </c>
      <c r="J3" s="119" t="inlineStr">
        <is>
          <t>Y9</t>
        </is>
      </c>
      <c r="K3" s="119" t="inlineStr">
        <is>
          <t>Y10</t>
        </is>
      </c>
    </row>
    <row r="4">
      <c r="A4" s="114" t="inlineStr">
        <is>
          <t>Milk liters handled</t>
        </is>
      </c>
      <c r="B4" s="118">
        <f>IFERROR(BALANCE_SHEET!E6,"")</f>
        <v/>
      </c>
      <c r="C4" s="118">
        <f>IFERROR(BALANCE_SHEET!E7,"")</f>
        <v/>
      </c>
      <c r="D4" s="118">
        <f>IFERROR(BALANCE_SHEET!E8,"")</f>
        <v/>
      </c>
      <c r="E4" s="118">
        <f>IFERROR(BALANCE_SHEET!E9,"")</f>
        <v/>
      </c>
      <c r="F4" s="118">
        <f>IFERROR(BALANCE_SHEET!E10,"")</f>
        <v/>
      </c>
      <c r="G4" s="118">
        <f>IFERROR(BALANCE_SHEET!E11,"")</f>
        <v/>
      </c>
      <c r="H4" s="118">
        <f>IFERROR(BALANCE_SHEET!E12,"")</f>
        <v/>
      </c>
      <c r="I4" s="118">
        <f>IFERROR(BALANCE_SHEET!E13,"")</f>
        <v/>
      </c>
      <c r="J4" s="118">
        <f>IFERROR(BALANCE_SHEET!E14,"")</f>
        <v/>
      </c>
      <c r="K4" s="118">
        <f>IFERROR(BALANCE_SHEET!E15,"")</f>
        <v/>
      </c>
    </row>
    <row r="5">
      <c r="A5" s="114" t="inlineStr">
        <is>
          <t>Beef kg handled</t>
        </is>
      </c>
      <c r="B5" s="118">
        <f>IFERROR(BALANCE_SHEET!F6+FATTENING!B$13*FATTENING!B$11,"")</f>
        <v/>
      </c>
      <c r="C5" s="118">
        <f>IFERROR(BALANCE_SHEET!F7+FATTENING!C$13*FATTENING!C$11,"")</f>
        <v/>
      </c>
      <c r="D5" s="118">
        <f>IFERROR(BALANCE_SHEET!F8+FATTENING!D$13*FATTENING!D$11,"")</f>
        <v/>
      </c>
      <c r="E5" s="118">
        <f>IFERROR(BALANCE_SHEET!F9+FATTENING!E$13*FATTENING!E$11,"")</f>
        <v/>
      </c>
      <c r="F5" s="118">
        <f>IFERROR(BALANCE_SHEET!F10+FATTENING!F$13*FATTENING!F$11,"")</f>
        <v/>
      </c>
      <c r="G5" s="118">
        <f>IFERROR(BALANCE_SHEET!F11+FATTENING!G$13*FATTENING!G$11,"")</f>
        <v/>
      </c>
      <c r="H5" s="118">
        <f>IFERROR(BALANCE_SHEET!F12+FATTENING!H$13*FATTENING!H$11,"")</f>
        <v/>
      </c>
      <c r="I5" s="118">
        <f>IFERROR(BALANCE_SHEET!F13+FATTENING!I$13*FATTENING!I$11,"")</f>
        <v/>
      </c>
      <c r="J5" s="118">
        <f>IFERROR(BALANCE_SHEET!F14+FATTENING!J$13*FATTENING!J$11,"")</f>
        <v/>
      </c>
      <c r="K5" s="118">
        <f>IFERROR(BALANCE_SHEET!F15+FATTENING!K$13*FATTENING!K$11,"")</f>
        <v/>
      </c>
    </row>
    <row r="6">
      <c r="A6" s="114" t="inlineStr">
        <is>
          <t>Internal logistics unit charge</t>
        </is>
      </c>
      <c r="B6" s="118">
        <f>IFERROR(TRANSFER_PRICING!E8,"")</f>
        <v/>
      </c>
      <c r="C6" s="118">
        <f>IFERROR(TRANSFER_PRICING!E8,"")</f>
        <v/>
      </c>
      <c r="D6" s="118">
        <f>IFERROR(TRANSFER_PRICING!E8,"")</f>
        <v/>
      </c>
      <c r="E6" s="118">
        <f>IFERROR(TRANSFER_PRICING!E8,"")</f>
        <v/>
      </c>
      <c r="F6" s="118">
        <f>IFERROR(TRANSFER_PRICING!E8,"")</f>
        <v/>
      </c>
      <c r="G6" s="118">
        <f>IFERROR(TRANSFER_PRICING!E8,"")</f>
        <v/>
      </c>
      <c r="H6" s="118">
        <f>IFERROR(TRANSFER_PRICING!E8,"")</f>
        <v/>
      </c>
      <c r="I6" s="118">
        <f>IFERROR(TRANSFER_PRICING!E8,"")</f>
        <v/>
      </c>
      <c r="J6" s="118">
        <f>IFERROR(TRANSFER_PRICING!E8,"")</f>
        <v/>
      </c>
      <c r="K6" s="118">
        <f>IFERROR(TRANSFER_PRICING!E8,"")</f>
        <v/>
      </c>
    </row>
    <row r="7">
      <c r="A7" s="114" t="inlineStr">
        <is>
          <t>Internal service revenue</t>
        </is>
      </c>
      <c r="B7" s="118">
        <f>IFERROR((B4/1000+B5/1000)*B6,"")</f>
        <v/>
      </c>
      <c r="C7" s="118">
        <f>IFERROR((C4/1000+C5/1000)*C6,"")</f>
        <v/>
      </c>
      <c r="D7" s="118">
        <f>IFERROR((D4/1000+D5/1000)*D6,"")</f>
        <v/>
      </c>
      <c r="E7" s="118">
        <f>IFERROR((E4/1000+E5/1000)*E6,"")</f>
        <v/>
      </c>
      <c r="F7" s="118">
        <f>IFERROR((F4/1000+F5/1000)*F6,"")</f>
        <v/>
      </c>
      <c r="G7" s="118">
        <f>IFERROR((G4/1000+G5/1000)*G6,"")</f>
        <v/>
      </c>
      <c r="H7" s="118">
        <f>IFERROR((H4/1000+H5/1000)*H6,"")</f>
        <v/>
      </c>
      <c r="I7" s="118">
        <f>IFERROR((I4/1000+I5/1000)*I6,"")</f>
        <v/>
      </c>
      <c r="J7" s="118">
        <f>IFERROR((J4/1000+J5/1000)*J6,"")</f>
        <v/>
      </c>
      <c r="K7" s="118">
        <f>IFERROR((K4/1000+K5/1000)*K6,"")</f>
        <v/>
      </c>
    </row>
    <row r="8">
      <c r="A8" s="114" t="inlineStr">
        <is>
          <t>External logistics revenue</t>
        </is>
      </c>
      <c r="B8" s="118">
        <f>IFERROR(MAX(0,B4-250000)*TRANSFER_PRICING!G8/1000,"")</f>
        <v/>
      </c>
      <c r="C8" s="118">
        <f>IFERROR(MAX(0,C4-250000)*TRANSFER_PRICING!G8/1000,"")</f>
        <v/>
      </c>
      <c r="D8" s="118">
        <f>IFERROR(MAX(0,D4-250000)*TRANSFER_PRICING!G8/1000,"")</f>
        <v/>
      </c>
      <c r="E8" s="118">
        <f>IFERROR(MAX(0,E4-250000)*TRANSFER_PRICING!G8/1000,"")</f>
        <v/>
      </c>
      <c r="F8" s="118">
        <f>IFERROR(MAX(0,F4-250000)*TRANSFER_PRICING!G8/1000,"")</f>
        <v/>
      </c>
      <c r="G8" s="118">
        <f>IFERROR(MAX(0,G4-250000)*TRANSFER_PRICING!G8/1000,"")</f>
        <v/>
      </c>
      <c r="H8" s="118">
        <f>IFERROR(MAX(0,H4-250000)*TRANSFER_PRICING!G8/1000,"")</f>
        <v/>
      </c>
      <c r="I8" s="118">
        <f>IFERROR(MAX(0,I4-250000)*TRANSFER_PRICING!G8/1000,"")</f>
        <v/>
      </c>
      <c r="J8" s="118">
        <f>IFERROR(MAX(0,J4-250000)*TRANSFER_PRICING!G8/1000,"")</f>
        <v/>
      </c>
      <c r="K8" s="118">
        <f>IFERROR(MAX(0,K4-250000)*TRANSFER_PRICING!G8/1000,"")</f>
        <v/>
      </c>
    </row>
    <row r="9">
      <c r="A9" s="120" t="inlineStr">
        <is>
          <t>Total revenue</t>
        </is>
      </c>
      <c r="B9" s="121">
        <f>IFERROR(B7+B8,"")</f>
        <v/>
      </c>
      <c r="C9" s="121">
        <f>IFERROR(C7+C8,"")</f>
        <v/>
      </c>
      <c r="D9" s="121">
        <f>IFERROR(D7+D8,"")</f>
        <v/>
      </c>
      <c r="E9" s="121">
        <f>IFERROR(E7+E8,"")</f>
        <v/>
      </c>
      <c r="F9" s="121">
        <f>IFERROR(F7+F8,"")</f>
        <v/>
      </c>
      <c r="G9" s="121">
        <f>IFERROR(G7+G8,"")</f>
        <v/>
      </c>
      <c r="H9" s="121">
        <f>IFERROR(H7+H8,"")</f>
        <v/>
      </c>
      <c r="I9" s="121">
        <f>IFERROR(I7+I8,"")</f>
        <v/>
      </c>
      <c r="J9" s="121">
        <f>IFERROR(J7+J8,"")</f>
        <v/>
      </c>
      <c r="K9" s="121">
        <f>IFERROR(K7+K8,"")</f>
        <v/>
      </c>
    </row>
    <row r="10">
      <c r="A10" s="114" t="inlineStr">
        <is>
          <t>Direct logistics cost</t>
        </is>
      </c>
      <c r="B10" s="118">
        <f>IFERROR(B9/1.15,"")</f>
        <v/>
      </c>
      <c r="C10" s="118">
        <f>IFERROR(C9/1.15,"")</f>
        <v/>
      </c>
      <c r="D10" s="118">
        <f>IFERROR(D9/1.15,"")</f>
        <v/>
      </c>
      <c r="E10" s="118">
        <f>IFERROR(E9/1.15,"")</f>
        <v/>
      </c>
      <c r="F10" s="118">
        <f>IFERROR(F9/1.15,"")</f>
        <v/>
      </c>
      <c r="G10" s="118">
        <f>IFERROR(G9/1.15,"")</f>
        <v/>
      </c>
      <c r="H10" s="118">
        <f>IFERROR(H9/1.15,"")</f>
        <v/>
      </c>
      <c r="I10" s="118">
        <f>IFERROR(I9/1.15,"")</f>
        <v/>
      </c>
      <c r="J10" s="118">
        <f>IFERROR(J9/1.15,"")</f>
        <v/>
      </c>
      <c r="K10" s="118">
        <f>IFERROR(K9/1.15,"")</f>
        <v/>
      </c>
    </row>
    <row r="11">
      <c r="A11" s="120" t="inlineStr">
        <is>
          <t>Operating cash flow</t>
        </is>
      </c>
      <c r="B11" s="121">
        <f>IFERROR(B9-B10,"")</f>
        <v/>
      </c>
      <c r="C11" s="121">
        <f>IFERROR(C9-C10,"")</f>
        <v/>
      </c>
      <c r="D11" s="121">
        <f>IFERROR(D9-D10,"")</f>
        <v/>
      </c>
      <c r="E11" s="121">
        <f>IFERROR(E9-E10,"")</f>
        <v/>
      </c>
      <c r="F11" s="121">
        <f>IFERROR(F9-F10,"")</f>
        <v/>
      </c>
      <c r="G11" s="121">
        <f>IFERROR(G9-G10,"")</f>
        <v/>
      </c>
      <c r="H11" s="121">
        <f>IFERROR(H9-H10,"")</f>
        <v/>
      </c>
      <c r="I11" s="121">
        <f>IFERROR(I9-I10,"")</f>
        <v/>
      </c>
      <c r="J11" s="121">
        <f>IFERROR(J9-J10,"")</f>
        <v/>
      </c>
      <c r="K11" s="121">
        <f>IFERROR(K9-K10,"")</f>
        <v/>
      </c>
    </row>
    <row r="12">
      <c r="A12" s="120" t="inlineStr">
        <is>
          <t>CFADS</t>
        </is>
      </c>
      <c r="B12" s="121">
        <f>IFERROR(B11,"")</f>
        <v/>
      </c>
      <c r="C12" s="121">
        <f>IFERROR(C11,"")</f>
        <v/>
      </c>
      <c r="D12" s="121">
        <f>IFERROR(D11,"")</f>
        <v/>
      </c>
      <c r="E12" s="121">
        <f>IFERROR(E11,"")</f>
        <v/>
      </c>
      <c r="F12" s="121">
        <f>IFERROR(F11,"")</f>
        <v/>
      </c>
      <c r="G12" s="121">
        <f>IFERROR(G11,"")</f>
        <v/>
      </c>
      <c r="H12" s="121">
        <f>IFERROR(H11,"")</f>
        <v/>
      </c>
      <c r="I12" s="121">
        <f>IFERROR(I11,"")</f>
        <v/>
      </c>
      <c r="J12" s="121">
        <f>IFERROR(J11,"")</f>
        <v/>
      </c>
      <c r="K12" s="121">
        <f>IFERROR(K11,"")</f>
        <v/>
      </c>
    </row>
    <row r="20">
      <c r="A20" s="265" t="inlineStr">
        <is>
          <t>Manure and Biodigester Logistics - Version 2</t>
        </is>
      </c>
    </row>
    <row r="21">
      <c r="A21" s="265" t="inlineStr">
        <is>
          <t>Line Item</t>
        </is>
      </c>
      <c r="B21" s="265" t="inlineStr">
        <is>
          <t>Y1</t>
        </is>
      </c>
      <c r="C21" s="265" t="inlineStr">
        <is>
          <t>Y2</t>
        </is>
      </c>
      <c r="D21" s="265" t="inlineStr">
        <is>
          <t>Y3</t>
        </is>
      </c>
      <c r="E21" s="265" t="inlineStr">
        <is>
          <t>Y4</t>
        </is>
      </c>
      <c r="F21" s="265" t="inlineStr">
        <is>
          <t>Y5</t>
        </is>
      </c>
      <c r="G21" s="265" t="inlineStr">
        <is>
          <t>Y6</t>
        </is>
      </c>
      <c r="H21" s="265" t="inlineStr">
        <is>
          <t>Y7</t>
        </is>
      </c>
      <c r="I21" s="265" t="inlineStr">
        <is>
          <t>Y8</t>
        </is>
      </c>
      <c r="J21" s="265" t="inlineStr">
        <is>
          <t>Y9</t>
        </is>
      </c>
      <c r="K21" s="265" t="inlineStr">
        <is>
          <t>Y10</t>
        </is>
      </c>
    </row>
    <row r="22">
      <c r="A22" s="394" t="inlineStr">
        <is>
          <t>Milk Moved</t>
        </is>
      </c>
      <c r="B22">
        <f>IFERROR(DAIRY!B4,"")</f>
        <v/>
      </c>
      <c r="C22">
        <f>IFERROR(DAIRY!C4,"")</f>
        <v/>
      </c>
      <c r="D22">
        <f>IFERROR(DAIRY!D4,"")</f>
        <v/>
      </c>
      <c r="E22">
        <f>IFERROR(DAIRY!E4,"")</f>
        <v/>
      </c>
      <c r="F22">
        <f>IFERROR(DAIRY!F4,"")</f>
        <v/>
      </c>
      <c r="G22">
        <f>IFERROR(DAIRY!G4,"")</f>
        <v/>
      </c>
      <c r="H22">
        <f>IFERROR(DAIRY!H4,"")</f>
        <v/>
      </c>
      <c r="I22">
        <f>IFERROR(DAIRY!I4,"")</f>
        <v/>
      </c>
      <c r="J22">
        <f>IFERROR(DAIRY!J4,"")</f>
        <v/>
      </c>
      <c r="K22">
        <f>IFERROR(DAIRY!K4,"")</f>
        <v/>
      </c>
    </row>
    <row r="23">
      <c r="A23" s="394" t="inlineStr">
        <is>
          <t>Beef Moved</t>
        </is>
      </c>
      <c r="B23">
        <f>IFERROR(FATTENING!B13*FATTENING!B11,"")</f>
        <v/>
      </c>
      <c r="C23">
        <f>IFERROR(FATTENING!C13*FATTENING!C11,"")</f>
        <v/>
      </c>
      <c r="D23">
        <f>IFERROR(FATTENING!D13*FATTENING!D11,"")</f>
        <v/>
      </c>
      <c r="E23">
        <f>IFERROR(FATTENING!E13*FATTENING!E11,"")</f>
        <v/>
      </c>
      <c r="F23">
        <f>IFERROR(FATTENING!F13*FATTENING!F11,"")</f>
        <v/>
      </c>
      <c r="G23">
        <f>IFERROR(FATTENING!G13*FATTENING!G11,"")</f>
        <v/>
      </c>
      <c r="H23">
        <f>IFERROR(FATTENING!H13*FATTENING!H11,"")</f>
        <v/>
      </c>
      <c r="I23">
        <f>IFERROR(FATTENING!I13*FATTENING!I11,"")</f>
        <v/>
      </c>
      <c r="J23">
        <f>IFERROR(FATTENING!J13*FATTENING!J11,"")</f>
        <v/>
      </c>
      <c r="K23">
        <f>IFERROR(FATTENING!K13*FATTENING!K11,"")</f>
        <v/>
      </c>
    </row>
    <row r="24">
      <c r="A24" s="394" t="inlineStr">
        <is>
          <t>Feed Moved</t>
        </is>
      </c>
      <c r="B24">
        <f>IFERROR(FEED_FARM!B14+FEED_FARM!B15,"")</f>
        <v/>
      </c>
      <c r="C24">
        <f>IFERROR(FEED_FARM!C14+FEED_FARM!C15,"")</f>
        <v/>
      </c>
      <c r="D24">
        <f>IFERROR(FEED_FARM!D14+FEED_FARM!D15,"")</f>
        <v/>
      </c>
      <c r="E24">
        <f>IFERROR(FEED_FARM!E14+FEED_FARM!E15,"")</f>
        <v/>
      </c>
      <c r="F24">
        <f>IFERROR(FEED_FARM!F14+FEED_FARM!F15,"")</f>
        <v/>
      </c>
      <c r="G24">
        <f>IFERROR(FEED_FARM!G14+FEED_FARM!G15,"")</f>
        <v/>
      </c>
      <c r="H24">
        <f>IFERROR(FEED_FARM!H14+FEED_FARM!H15,"")</f>
        <v/>
      </c>
      <c r="I24">
        <f>IFERROR(FEED_FARM!I14+FEED_FARM!I15,"")</f>
        <v/>
      </c>
      <c r="J24">
        <f>IFERROR(FEED_FARM!J14+FEED_FARM!J15,"")</f>
        <v/>
      </c>
      <c r="K24">
        <f>IFERROR(FEED_FARM!K14+FEED_FARM!K15,"")</f>
        <v/>
      </c>
    </row>
    <row r="25">
      <c r="A25" s="394" t="inlineStr">
        <is>
          <t>Manure Moved To Feed Farm</t>
        </is>
      </c>
      <c r="B25">
        <f>IFERROR(DAIRY!B23+FATTENING!B43,"")</f>
        <v/>
      </c>
      <c r="C25">
        <f>IFERROR(DAIRY!C23+FATTENING!C43,"")</f>
        <v/>
      </c>
      <c r="D25">
        <f>IFERROR(DAIRY!D23+FATTENING!D43,"")</f>
        <v/>
      </c>
      <c r="E25">
        <f>IFERROR(DAIRY!E23+FATTENING!E43,"")</f>
        <v/>
      </c>
      <c r="F25">
        <f>IFERROR(DAIRY!F23+FATTENING!F43,"")</f>
        <v/>
      </c>
      <c r="G25">
        <f>IFERROR(DAIRY!G23+FATTENING!G43,"")</f>
        <v/>
      </c>
      <c r="H25">
        <f>IFERROR(DAIRY!H23+FATTENING!H43,"")</f>
        <v/>
      </c>
      <c r="I25">
        <f>IFERROR(DAIRY!I23+FATTENING!I43,"")</f>
        <v/>
      </c>
      <c r="J25">
        <f>IFERROR(DAIRY!J23+FATTENING!J43,"")</f>
        <v/>
      </c>
      <c r="K25">
        <f>IFERROR(DAIRY!K23+FATTENING!K43,"")</f>
        <v/>
      </c>
    </row>
    <row r="26">
      <c r="A26" s="394" t="inlineStr">
        <is>
          <t>Biodigester Transfers</t>
        </is>
      </c>
      <c r="B26">
        <f>IFERROR(DAIRY!B25+FATTENING!B45,"")</f>
        <v/>
      </c>
      <c r="C26">
        <f>IFERROR(DAIRY!C25+FATTENING!C45,"")</f>
        <v/>
      </c>
      <c r="D26">
        <f>IFERROR(DAIRY!D25+FATTENING!D45,"")</f>
        <v/>
      </c>
      <c r="E26">
        <f>IFERROR(DAIRY!E25+FATTENING!E45,"")</f>
        <v/>
      </c>
      <c r="F26">
        <f>IFERROR(DAIRY!F25+FATTENING!F45,"")</f>
        <v/>
      </c>
      <c r="G26">
        <f>IFERROR(DAIRY!G25+FATTENING!G45,"")</f>
        <v/>
      </c>
      <c r="H26">
        <f>IFERROR(DAIRY!H25+FATTENING!H45,"")</f>
        <v/>
      </c>
      <c r="I26">
        <f>IFERROR(DAIRY!I25+FATTENING!I45,"")</f>
        <v/>
      </c>
      <c r="J26">
        <f>IFERROR(DAIRY!J25+FATTENING!J45,"")</f>
        <v/>
      </c>
      <c r="K26">
        <f>IFERROR(DAIRY!K25+FATTENING!K45,"")</f>
        <v/>
      </c>
    </row>
    <row r="27">
      <c r="A27" s="394" t="inlineStr">
        <is>
          <t>Dairy To Feed Farm Cost</t>
        </is>
      </c>
      <c r="B27">
        <f>IFERROR(DAIRY!B23*5,"")</f>
        <v/>
      </c>
      <c r="C27">
        <f>IFERROR(DAIRY!C23*5,"")</f>
        <v/>
      </c>
      <c r="D27">
        <f>IFERROR(DAIRY!D23*5,"")</f>
        <v/>
      </c>
      <c r="E27">
        <f>IFERROR(DAIRY!E23*5,"")</f>
        <v/>
      </c>
      <c r="F27">
        <f>IFERROR(DAIRY!F23*5,"")</f>
        <v/>
      </c>
      <c r="G27">
        <f>IFERROR(DAIRY!G23*5,"")</f>
        <v/>
      </c>
      <c r="H27">
        <f>IFERROR(DAIRY!H23*5,"")</f>
        <v/>
      </c>
      <c r="I27">
        <f>IFERROR(DAIRY!I23*5,"")</f>
        <v/>
      </c>
      <c r="J27">
        <f>IFERROR(DAIRY!J23*5,"")</f>
        <v/>
      </c>
      <c r="K27">
        <f>IFERROR(DAIRY!K23*5,"")</f>
        <v/>
      </c>
    </row>
    <row r="28">
      <c r="A28" s="394" t="inlineStr">
        <is>
          <t>Fattening To Feed Farm Cost</t>
        </is>
      </c>
      <c r="B28">
        <f>IFERROR(FATTENING!B43*5,"")</f>
        <v/>
      </c>
      <c r="C28">
        <f>IFERROR(FATTENING!C43*5,"")</f>
        <v/>
      </c>
      <c r="D28">
        <f>IFERROR(FATTENING!D43*5,"")</f>
        <v/>
      </c>
      <c r="E28">
        <f>IFERROR(FATTENING!E43*5,"")</f>
        <v/>
      </c>
      <c r="F28">
        <f>IFERROR(FATTENING!F43*5,"")</f>
        <v/>
      </c>
      <c r="G28">
        <f>IFERROR(FATTENING!G43*5,"")</f>
        <v/>
      </c>
      <c r="H28">
        <f>IFERROR(FATTENING!H43*5,"")</f>
        <v/>
      </c>
      <c r="I28">
        <f>IFERROR(FATTENING!I43*5,"")</f>
        <v/>
      </c>
      <c r="J28">
        <f>IFERROR(FATTENING!J43*5,"")</f>
        <v/>
      </c>
      <c r="K28">
        <f>IFERROR(FATTENING!K43*5,"")</f>
        <v/>
      </c>
    </row>
    <row r="29">
      <c r="A29" s="394" t="inlineStr">
        <is>
          <t>Farm To Biodigester Cost</t>
        </is>
      </c>
      <c r="B29">
        <f>IFERROR(B26*5,"")</f>
        <v/>
      </c>
      <c r="C29">
        <f>IFERROR(C26*5,"")</f>
        <v/>
      </c>
      <c r="D29">
        <f>IFERROR(D26*5,"")</f>
        <v/>
      </c>
      <c r="E29">
        <f>IFERROR(E26*5,"")</f>
        <v/>
      </c>
      <c r="F29">
        <f>IFERROR(F26*5,"")</f>
        <v/>
      </c>
      <c r="G29">
        <f>IFERROR(G26*5,"")</f>
        <v/>
      </c>
      <c r="H29">
        <f>IFERROR(H26*5,"")</f>
        <v/>
      </c>
      <c r="I29">
        <f>IFERROR(I26*5,"")</f>
        <v/>
      </c>
      <c r="J29">
        <f>IFERROR(J26*5,"")</f>
        <v/>
      </c>
      <c r="K29">
        <f>IFERROR(K26*5,"")</f>
        <v/>
      </c>
    </row>
    <row r="30">
      <c r="A30" s="393" t="inlineStr">
        <is>
          <t>Total Manure Logistics Cost</t>
        </is>
      </c>
      <c r="B30">
        <f>IFERROR(SUM(B27:B29),"")</f>
        <v/>
      </c>
      <c r="C30">
        <f>IFERROR(SUM(C27:C29),"")</f>
        <v/>
      </c>
      <c r="D30">
        <f>IFERROR(SUM(D27:D29),"")</f>
        <v/>
      </c>
      <c r="E30">
        <f>IFERROR(SUM(E27:E29),"")</f>
        <v/>
      </c>
      <c r="F30">
        <f>IFERROR(SUM(F27:F29),"")</f>
        <v/>
      </c>
      <c r="G30">
        <f>IFERROR(SUM(G27:G29),"")</f>
        <v/>
      </c>
      <c r="H30">
        <f>IFERROR(SUM(H27:H29),"")</f>
        <v/>
      </c>
      <c r="I30">
        <f>IFERROR(SUM(I27:I29),"")</f>
        <v/>
      </c>
      <c r="J30">
        <f>IFERROR(SUM(J27:J29),"")</f>
        <v/>
      </c>
      <c r="K30">
        <f>IFERROR(SUM(K27:K29),"")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3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H1"/>
    </sheetView>
  </sheetViews>
  <sheetFormatPr baseColWidth="10" defaultColWidth="8.83203125" defaultRowHeight="15"/>
  <cols>
    <col width="28" customWidth="1" style="239" min="1" max="2"/>
    <col width="18" customWidth="1" style="239" min="3" max="6"/>
    <col width="22" customWidth="1" style="239" min="7" max="7"/>
    <col width="40" customWidth="1" style="239" min="8" max="8"/>
    <col width="8.83203125" customWidth="1" style="239" min="9" max="11"/>
  </cols>
  <sheetData>
    <row r="1" ht="21" customHeight="1" s="239">
      <c r="A1" s="253" t="inlineStr">
        <is>
          <t>Transfer Pricing &amp; Elimination Framework</t>
        </is>
      </c>
      <c r="B1" s="250" t="n"/>
      <c r="C1" s="250" t="n"/>
      <c r="D1" s="250" t="n"/>
      <c r="E1" s="250" t="n"/>
      <c r="F1" s="250" t="n"/>
      <c r="G1" s="250" t="n"/>
      <c r="H1" s="251" t="n"/>
      <c r="I1" s="241" t="n"/>
      <c r="J1" s="241" t="n"/>
      <c r="K1" s="241" t="n"/>
    </row>
    <row r="2">
      <c r="A2" s="257" t="inlineStr">
        <is>
          <t>Market based internal pricing for feed, water, logistics, and fattening transfers.</t>
        </is>
      </c>
      <c r="B2" s="250" t="n"/>
      <c r="C2" s="250" t="n"/>
      <c r="D2" s="250" t="n"/>
      <c r="E2" s="250" t="n"/>
      <c r="F2" s="250" t="n"/>
      <c r="G2" s="250" t="n"/>
      <c r="H2" s="251" t="n"/>
      <c r="I2" s="241" t="n"/>
      <c r="J2" s="241" t="n"/>
      <c r="K2" s="241" t="n"/>
    </row>
    <row r="3" ht="16" customHeight="1" s="239">
      <c r="A3" s="154" t="inlineStr">
        <is>
          <t>Item</t>
        </is>
      </c>
      <c r="B3" s="154" t="inlineStr">
        <is>
          <t>Market Reference</t>
        </is>
      </c>
      <c r="C3" s="154" t="inlineStr">
        <is>
          <t>Cost Base</t>
        </is>
      </c>
      <c r="D3" s="154" t="inlineStr">
        <is>
          <t>Margin</t>
        </is>
      </c>
      <c r="E3" s="154" t="inlineStr">
        <is>
          <t>Transfer Price</t>
        </is>
      </c>
      <c r="F3" s="154" t="inlineStr">
        <is>
          <t>Internal Buyer</t>
        </is>
      </c>
      <c r="G3" s="154" t="inlineStr">
        <is>
          <t>External Price Anchor</t>
        </is>
      </c>
      <c r="H3" s="154" t="inlineStr">
        <is>
          <t>Notes</t>
        </is>
      </c>
      <c r="I3" s="241" t="n"/>
      <c r="J3" s="241" t="n"/>
      <c r="K3" s="241" t="n"/>
    </row>
    <row r="4" ht="16" customHeight="1" s="239">
      <c r="A4" s="241" t="inlineStr">
        <is>
          <t>Silage / haylage</t>
        </is>
      </c>
      <c r="B4" s="241" t="inlineStr">
        <is>
          <t>Market feed quote</t>
        </is>
      </c>
      <c r="C4" s="140">
        <f>IFERROR(ASSUMPTIONS!B120,"")</f>
        <v/>
      </c>
      <c r="D4" s="140">
        <f>IFERROR(ASSUMPTIONS!B133,"")</f>
        <v/>
      </c>
      <c r="E4" s="140">
        <f>IFERROR(C4*(1+D4),"")</f>
        <v/>
      </c>
      <c r="F4" s="241" t="inlineStr">
        <is>
          <t>Dairy / Bull Fattening</t>
        </is>
      </c>
      <c r="G4" s="140" t="n">
        <v>60000</v>
      </c>
      <c r="H4" s="241" t="inlineStr">
        <is>
          <t>Internal feed transfer uses cost plus 10%.</t>
        </is>
      </c>
      <c r="I4" s="241" t="n"/>
      <c r="J4" s="241" t="n"/>
      <c r="K4" s="241" t="n"/>
    </row>
    <row r="5" ht="16" customHeight="1" s="239">
      <c r="A5" s="241" t="inlineStr">
        <is>
          <t>Hay / dry forage</t>
        </is>
      </c>
      <c r="B5" s="241" t="inlineStr">
        <is>
          <t>Local hay market</t>
        </is>
      </c>
      <c r="C5" s="140">
        <f>IFERROR(ASSUMPTIONS!B121,"")</f>
        <v/>
      </c>
      <c r="D5" s="140">
        <f>IFERROR(ASSUMPTIONS!B133,"")</f>
        <v/>
      </c>
      <c r="E5" s="140">
        <f>IFERROR(C5*(1+D5),"")</f>
        <v/>
      </c>
      <c r="F5" s="241" t="inlineStr">
        <is>
          <t>Dairy / Bull Fattening</t>
        </is>
      </c>
      <c r="G5" s="140" t="n">
        <v>70000</v>
      </c>
      <c r="H5" s="241" t="inlineStr">
        <is>
          <t>Supports feed self-sufficiency analysis.</t>
        </is>
      </c>
      <c r="I5" s="241" t="n"/>
      <c r="J5" s="241" t="n"/>
      <c r="K5" s="241" t="n"/>
    </row>
    <row r="6" ht="16" customHeight="1" s="239">
      <c r="A6" s="241" t="inlineStr">
        <is>
          <t>Corn silage</t>
        </is>
      </c>
      <c r="B6" s="241" t="inlineStr">
        <is>
          <t>Local maize silage</t>
        </is>
      </c>
      <c r="C6" s="140">
        <f>IFERROR(ASSUMPTIONS!B122,"")</f>
        <v/>
      </c>
      <c r="D6" s="140">
        <f>IFERROR(ASSUMPTIONS!B133,"")</f>
        <v/>
      </c>
      <c r="E6" s="140">
        <f>IFERROR(C6*(1+D6),"")</f>
        <v/>
      </c>
      <c r="F6" s="241" t="inlineStr">
        <is>
          <t>Dairy / Bull Fattening</t>
        </is>
      </c>
      <c r="G6" s="140" t="n">
        <v>65000</v>
      </c>
      <c r="H6" s="241" t="inlineStr">
        <is>
          <t>Used as blended ration reference.</t>
        </is>
      </c>
      <c r="I6" s="241" t="n"/>
      <c r="J6" s="241" t="n"/>
      <c r="K6" s="241" t="n"/>
    </row>
    <row r="7" ht="16" customHeight="1" s="239">
      <c r="A7" s="241" t="inlineStr">
        <is>
          <t>Water services</t>
        </is>
      </c>
      <c r="B7" s="241" t="inlineStr">
        <is>
          <t>Borehole + storage</t>
        </is>
      </c>
      <c r="C7" s="140">
        <f>IFERROR(ASSUMPTIONS!B136,"")</f>
        <v/>
      </c>
      <c r="D7" s="140" t="n">
        <v>0.1</v>
      </c>
      <c r="E7" s="140">
        <f>IFERROR(C7*(1+D7),"")</f>
        <v/>
      </c>
      <c r="F7" s="241" t="inlineStr">
        <is>
          <t>Operating units</t>
        </is>
      </c>
      <c r="G7" s="140" t="n">
        <v>200</v>
      </c>
      <c r="H7" s="241" t="inlineStr">
        <is>
          <t>Cost plus 10%.</t>
        </is>
      </c>
      <c r="I7" s="241" t="n"/>
      <c r="J7" s="241" t="n"/>
      <c r="K7" s="241" t="n"/>
    </row>
    <row r="8" ht="32" customHeight="1" s="239">
      <c r="A8" s="241" t="inlineStr">
        <is>
          <t>Cold logistics</t>
        </is>
      </c>
      <c r="B8" s="241" t="inlineStr">
        <is>
          <t>Internal delivery cost</t>
        </is>
      </c>
      <c r="C8" s="140">
        <f>IFERROR(ASSUMPTIONS!B134,"")</f>
        <v/>
      </c>
      <c r="D8" s="140">
        <f>IFERROR(ASSUMPTIONS!B135,"")</f>
        <v/>
      </c>
      <c r="E8" s="140">
        <f>IFERROR(C8*(1+D8),"")</f>
        <v/>
      </c>
      <c r="F8" s="241" t="inlineStr">
        <is>
          <t>Dairy / external customers</t>
        </is>
      </c>
      <c r="G8" s="140" t="n">
        <v>180</v>
      </c>
      <c r="H8" s="241" t="inlineStr">
        <is>
          <t>Cost plus 15% charge-out.</t>
        </is>
      </c>
      <c r="I8" s="241" t="n"/>
      <c r="J8" s="241" t="n"/>
      <c r="K8" s="241" t="n"/>
    </row>
    <row r="9" ht="16" customHeight="1" s="239">
      <c r="A9" s="241" t="inlineStr">
        <is>
          <t>Bull ration per head/day</t>
        </is>
      </c>
      <c r="B9" s="241" t="inlineStr">
        <is>
          <t>Feedlot ration</t>
        </is>
      </c>
      <c r="C9" s="140">
        <f>IFERROR(ASSUMPTIONS!B132,"")</f>
        <v/>
      </c>
      <c r="D9" s="140" t="n">
        <v>0</v>
      </c>
      <c r="E9" s="140">
        <f>IFERROR(C9*(1+D9),"")</f>
        <v/>
      </c>
      <c r="F9" s="241" t="inlineStr">
        <is>
          <t>Bull Fattening</t>
        </is>
      </c>
      <c r="G9" s="140" t="n">
        <v>2200</v>
      </c>
      <c r="H9" s="241" t="inlineStr">
        <is>
          <t>Daily feed cost for 120-day fattening cycle.</t>
        </is>
      </c>
      <c r="I9" s="241" t="n"/>
      <c r="J9" s="241" t="n"/>
      <c r="K9" s="241" t="n"/>
    </row>
    <row r="10">
      <c r="A10" s="241" t="n"/>
      <c r="B10" s="241" t="n"/>
      <c r="C10" s="241" t="n"/>
      <c r="D10" s="241" t="n"/>
      <c r="E10" s="241" t="n"/>
      <c r="F10" s="241" t="n"/>
      <c r="G10" s="241" t="n"/>
      <c r="H10" s="241" t="n"/>
      <c r="I10" s="241" t="n"/>
      <c r="J10" s="241" t="n"/>
      <c r="K10" s="241" t="n"/>
    </row>
    <row r="11">
      <c r="A11" s="241" t="n"/>
      <c r="B11" s="241" t="n"/>
      <c r="C11" s="241" t="n"/>
      <c r="D11" s="241" t="n"/>
      <c r="E11" s="241" t="n"/>
      <c r="F11" s="241" t="n"/>
      <c r="G11" s="241" t="n"/>
      <c r="H11" s="241" t="n"/>
      <c r="I11" s="241" t="n"/>
      <c r="J11" s="241" t="n"/>
      <c r="K11" s="241" t="n"/>
    </row>
    <row r="12" ht="16" customHeight="1" s="239">
      <c r="A12" s="141" t="inlineStr">
        <is>
          <t>Consolidation Rules</t>
        </is>
      </c>
      <c r="B12" s="142" t="n"/>
      <c r="C12" s="142" t="n"/>
      <c r="D12" s="142" t="n"/>
      <c r="E12" s="142" t="n"/>
      <c r="F12" s="142" t="n"/>
      <c r="G12" s="142" t="n"/>
      <c r="H12" s="142" t="n"/>
      <c r="I12" s="241" t="n"/>
      <c r="J12" s="241" t="n"/>
      <c r="K12" s="241" t="n"/>
    </row>
    <row r="13" ht="16" customHeight="1" s="239">
      <c r="A13" s="139" t="inlineStr">
        <is>
          <t>Rule</t>
        </is>
      </c>
      <c r="B13" s="139" t="inlineStr">
        <is>
          <t>Treatment</t>
        </is>
      </c>
      <c r="C13" s="139" t="inlineStr">
        <is>
          <t>Feed Farm</t>
        </is>
      </c>
      <c r="D13" s="139" t="inlineStr">
        <is>
          <t>Dairy</t>
        </is>
      </c>
      <c r="E13" s="139" t="inlineStr">
        <is>
          <t>Fattening</t>
        </is>
      </c>
      <c r="F13" s="139" t="inlineStr">
        <is>
          <t>Logistics</t>
        </is>
      </c>
      <c r="G13" s="139" t="inlineStr">
        <is>
          <t>Eliminations</t>
        </is>
      </c>
      <c r="H13" s="139" t="inlineStr">
        <is>
          <t>Notes</t>
        </is>
      </c>
      <c r="I13" s="241" t="n"/>
      <c r="J13" s="241" t="n"/>
      <c r="K13" s="241" t="n"/>
    </row>
    <row r="14" ht="32" customHeight="1" s="239">
      <c r="A14" s="241" t="inlineStr">
        <is>
          <t>Internal feed transfers</t>
        </is>
      </c>
      <c r="B14" s="241" t="inlineStr">
        <is>
          <t>Feed Farm records revenue; Dairy/Fattening record expense</t>
        </is>
      </c>
      <c r="C14" s="241" t="inlineStr">
        <is>
          <t>Revenue</t>
        </is>
      </c>
      <c r="D14" s="241" t="inlineStr">
        <is>
          <t>Expense</t>
        </is>
      </c>
      <c r="E14" s="241" t="inlineStr">
        <is>
          <t>Expense</t>
        </is>
      </c>
      <c r="F14" s="241" t="inlineStr">
        <is>
          <t>n/a</t>
        </is>
      </c>
      <c r="G14" s="241" t="inlineStr">
        <is>
          <t>Eliminate internal revenue/expense</t>
        </is>
      </c>
      <c r="H14" s="241" t="inlineStr">
        <is>
          <t>No double-counting in consolidated view</t>
        </is>
      </c>
      <c r="I14" s="241" t="n"/>
      <c r="J14" s="241" t="n"/>
      <c r="K14" s="241" t="n"/>
    </row>
    <row r="15" ht="16" customHeight="1" s="239">
      <c r="A15" s="241" t="inlineStr">
        <is>
          <t>Water services</t>
        </is>
      </c>
      <c r="B15" s="241" t="inlineStr">
        <is>
          <t>Cost plus 10%</t>
        </is>
      </c>
      <c r="C15" s="241" t="inlineStr">
        <is>
          <t>Service revenue</t>
        </is>
      </c>
      <c r="D15" s="241" t="inlineStr">
        <is>
          <t>Expense</t>
        </is>
      </c>
      <c r="E15" s="241" t="inlineStr">
        <is>
          <t>Expense</t>
        </is>
      </c>
      <c r="F15" s="241" t="inlineStr">
        <is>
          <t>Expense</t>
        </is>
      </c>
      <c r="G15" s="241" t="inlineStr">
        <is>
          <t>Eliminate internal charge</t>
        </is>
      </c>
      <c r="H15" s="241" t="inlineStr">
        <is>
          <t>Policy assumption</t>
        </is>
      </c>
      <c r="I15" s="241" t="n"/>
      <c r="J15" s="241" t="n"/>
      <c r="K15" s="241" t="n"/>
    </row>
    <row r="16" ht="16" customHeight="1" s="239">
      <c r="A16" s="241" t="inlineStr">
        <is>
          <t>Logistics services</t>
        </is>
      </c>
      <c r="B16" s="241" t="inlineStr">
        <is>
          <t>Cost plus 15%</t>
        </is>
      </c>
      <c r="C16" s="241" t="inlineStr">
        <is>
          <t>n/a</t>
        </is>
      </c>
      <c r="D16" s="241" t="inlineStr">
        <is>
          <t>Expense</t>
        </is>
      </c>
      <c r="E16" s="241" t="inlineStr">
        <is>
          <t>Expense</t>
        </is>
      </c>
      <c r="F16" s="241" t="inlineStr">
        <is>
          <t>Revenue</t>
        </is>
      </c>
      <c r="G16" s="241" t="inlineStr">
        <is>
          <t>Eliminate internal charge</t>
        </is>
      </c>
      <c r="H16" s="241" t="inlineStr">
        <is>
          <t>External haulage remains consolidated revenue</t>
        </is>
      </c>
      <c r="I16" s="241" t="n"/>
      <c r="J16" s="241" t="n"/>
      <c r="K16" s="241" t="n"/>
    </row>
    <row r="17" ht="16" customHeight="1" s="239">
      <c r="A17" s="141" t="inlineStr">
        <is>
          <t>Linked Elimination Schedule</t>
        </is>
      </c>
      <c r="B17" s="142" t="n"/>
      <c r="C17" s="142" t="n"/>
      <c r="D17" s="142" t="n"/>
      <c r="E17" s="142" t="n"/>
      <c r="F17" s="142" t="n"/>
      <c r="G17" s="142" t="n"/>
      <c r="H17" s="142" t="n"/>
      <c r="I17" s="142" t="n"/>
      <c r="J17" s="142" t="n"/>
      <c r="K17" s="142" t="n"/>
    </row>
    <row r="18" ht="22" customHeight="1" s="239">
      <c r="A18" s="253" t="inlineStr">
        <is>
          <t>Eliminations</t>
        </is>
      </c>
      <c r="B18" s="241" t="n"/>
      <c r="C18" s="241" t="n"/>
      <c r="D18" s="241" t="n"/>
      <c r="E18" s="241" t="n"/>
      <c r="F18" s="241" t="n"/>
      <c r="G18" s="241" t="n"/>
      <c r="H18" s="241" t="n"/>
      <c r="I18" s="241" t="n"/>
      <c r="J18" s="241" t="n"/>
      <c r="K18" s="241" t="n"/>
    </row>
    <row r="19" ht="48" customHeight="1" s="239">
      <c r="A19" s="257" t="inlineStr">
        <is>
          <t>Internal feed, logistics, water, and other transfers eliminated in consolidated presentation.</t>
        </is>
      </c>
      <c r="B19" s="241" t="n"/>
      <c r="C19" s="241" t="n"/>
      <c r="D19" s="241" t="n"/>
      <c r="E19" s="241" t="n"/>
      <c r="F19" s="241" t="n"/>
      <c r="G19" s="241" t="n"/>
      <c r="H19" s="241" t="n"/>
      <c r="I19" s="241" t="n"/>
      <c r="J19" s="241" t="n"/>
      <c r="K19" s="241" t="n"/>
    </row>
    <row r="20" ht="16" customHeight="1" s="239">
      <c r="A20" s="154" t="inlineStr">
        <is>
          <t>Line Item</t>
        </is>
      </c>
      <c r="B20" s="154" t="inlineStr">
        <is>
          <t>Y1</t>
        </is>
      </c>
      <c r="C20" s="154" t="inlineStr">
        <is>
          <t>Y2</t>
        </is>
      </c>
      <c r="D20" s="154" t="inlineStr">
        <is>
          <t>Y3</t>
        </is>
      </c>
      <c r="E20" s="154" t="inlineStr">
        <is>
          <t>Y4</t>
        </is>
      </c>
      <c r="F20" s="154" t="inlineStr">
        <is>
          <t>Y5</t>
        </is>
      </c>
      <c r="G20" s="154" t="inlineStr">
        <is>
          <t>Y6</t>
        </is>
      </c>
      <c r="H20" s="154" t="inlineStr">
        <is>
          <t>Y7</t>
        </is>
      </c>
      <c r="I20" s="154" t="inlineStr">
        <is>
          <t>Y8</t>
        </is>
      </c>
      <c r="J20" s="154" t="inlineStr">
        <is>
          <t>Y9</t>
        </is>
      </c>
      <c r="K20" s="154" t="inlineStr">
        <is>
          <t>Y10</t>
        </is>
      </c>
    </row>
    <row r="21" ht="16" customHeight="1" s="239">
      <c r="A21" s="241" t="inlineStr">
        <is>
          <t>Internal feed revenue</t>
        </is>
      </c>
      <c r="B21" s="140">
        <f>IFERROR(-FEED_FARM!B18,"")</f>
        <v/>
      </c>
      <c r="C21" s="140">
        <f>IFERROR(-FEED_FARM!C18,"")</f>
        <v/>
      </c>
      <c r="D21" s="140">
        <f>IFERROR(-FEED_FARM!D18,"")</f>
        <v/>
      </c>
      <c r="E21" s="140">
        <f>IFERROR(-FEED_FARM!E18,"")</f>
        <v/>
      </c>
      <c r="F21" s="140">
        <f>IFERROR(-FEED_FARM!F18,"")</f>
        <v/>
      </c>
      <c r="G21" s="140">
        <f>IFERROR(-FEED_FARM!G18,"")</f>
        <v/>
      </c>
      <c r="H21" s="140">
        <f>IFERROR(-FEED_FARM!H18,"")</f>
        <v/>
      </c>
      <c r="I21" s="140">
        <f>IFERROR(-FEED_FARM!I18,"")</f>
        <v/>
      </c>
      <c r="J21" s="140">
        <f>IFERROR(-FEED_FARM!J18,"")</f>
        <v/>
      </c>
      <c r="K21" s="140">
        <f>IFERROR(-FEED_FARM!K18,"")</f>
        <v/>
      </c>
    </row>
    <row r="22" ht="16" customHeight="1" s="239">
      <c r="A22" s="241" t="inlineStr">
        <is>
          <t>Internal logistics revenue</t>
        </is>
      </c>
      <c r="B22" s="140">
        <f>IFERROR(-LOGISTICS!B7,"")</f>
        <v/>
      </c>
      <c r="C22" s="140">
        <f>IFERROR(-LOGISTICS!C7,"")</f>
        <v/>
      </c>
      <c r="D22" s="140">
        <f>IFERROR(-LOGISTICS!D7,"")</f>
        <v/>
      </c>
      <c r="E22" s="140">
        <f>IFERROR(-LOGISTICS!E7,"")</f>
        <v/>
      </c>
      <c r="F22" s="140">
        <f>IFERROR(-LOGISTICS!F7,"")</f>
        <v/>
      </c>
      <c r="G22" s="140">
        <f>IFERROR(-LOGISTICS!G7,"")</f>
        <v/>
      </c>
      <c r="H22" s="140">
        <f>IFERROR(-LOGISTICS!H7,"")</f>
        <v/>
      </c>
      <c r="I22" s="140">
        <f>IFERROR(-LOGISTICS!I7,"")</f>
        <v/>
      </c>
      <c r="J22" s="140">
        <f>IFERROR(-LOGISTICS!J7,"")</f>
        <v/>
      </c>
      <c r="K22" s="140">
        <f>IFERROR(-LOGISTICS!K7,"")</f>
        <v/>
      </c>
    </row>
    <row r="23" ht="16" customHeight="1" s="239">
      <c r="A23" s="241" t="inlineStr">
        <is>
          <t>Internal water/services</t>
        </is>
      </c>
      <c r="B23" s="140">
        <f>IFERROR(-(BALANCE_SHEET!D6*TRANSFER_PRICING!$E$7),"")</f>
        <v/>
      </c>
      <c r="C23" s="140">
        <f>IFERROR(-(BALANCE_SHEET!D7*TRANSFER_PRICING!$E$7),"")</f>
        <v/>
      </c>
      <c r="D23" s="140">
        <f>IFERROR(-(BALANCE_SHEET!D8*TRANSFER_PRICING!$E$7),"")</f>
        <v/>
      </c>
      <c r="E23" s="140">
        <f>IFERROR(-(BALANCE_SHEET!D9*TRANSFER_PRICING!$E$7),"")</f>
        <v/>
      </c>
      <c r="F23" s="140">
        <f>IFERROR(-(BALANCE_SHEET!D10*TRANSFER_PRICING!$E$7),"")</f>
        <v/>
      </c>
      <c r="G23" s="140">
        <f>IFERROR(-(BALANCE_SHEET!D11*TRANSFER_PRICING!$E$7),"")</f>
        <v/>
      </c>
      <c r="H23" s="140">
        <f>IFERROR(-(BALANCE_SHEET!D12*TRANSFER_PRICING!$E$7),"")</f>
        <v/>
      </c>
      <c r="I23" s="140">
        <f>IFERROR(-(BALANCE_SHEET!D13*TRANSFER_PRICING!$E$7),"")</f>
        <v/>
      </c>
      <c r="J23" s="140">
        <f>IFERROR(-(BALANCE_SHEET!D14*TRANSFER_PRICING!$E$7),"")</f>
        <v/>
      </c>
      <c r="K23" s="140">
        <f>IFERROR(-(BALANCE_SHEET!D15*TRANSFER_PRICING!$E$7),"")</f>
        <v/>
      </c>
    </row>
    <row r="24" ht="16" customHeight="1" s="239">
      <c r="A24" s="241" t="inlineStr">
        <is>
          <t>Other internal charges</t>
        </is>
      </c>
      <c r="B24" s="140">
        <f>IFERROR(0,"")</f>
        <v/>
      </c>
      <c r="C24" s="140">
        <f>IFERROR(0,"")</f>
        <v/>
      </c>
      <c r="D24" s="140">
        <f>IFERROR(0,"")</f>
        <v/>
      </c>
      <c r="E24" s="140">
        <f>IFERROR(0,"")</f>
        <v/>
      </c>
      <c r="F24" s="140">
        <f>IFERROR(0,"")</f>
        <v/>
      </c>
      <c r="G24" s="140">
        <f>IFERROR(0,"")</f>
        <v/>
      </c>
      <c r="H24" s="140">
        <f>IFERROR(0,"")</f>
        <v/>
      </c>
      <c r="I24" s="140">
        <f>IFERROR(0,"")</f>
        <v/>
      </c>
      <c r="J24" s="140">
        <f>IFERROR(0,"")</f>
        <v/>
      </c>
      <c r="K24" s="140">
        <f>IFERROR(0,"")</f>
        <v/>
      </c>
    </row>
    <row r="25" ht="16" customHeight="1" s="239">
      <c r="A25" s="157" t="inlineStr">
        <is>
          <t>Total revenue eliminations</t>
        </is>
      </c>
      <c r="B25" s="158">
        <f>IFERROR(SUM(B21:B24),"")</f>
        <v/>
      </c>
      <c r="C25" s="158">
        <f>IFERROR(SUM(C21:C24),"")</f>
        <v/>
      </c>
      <c r="D25" s="158">
        <f>IFERROR(SUM(D21:D24),"")</f>
        <v/>
      </c>
      <c r="E25" s="158">
        <f>IFERROR(SUM(E21:E24),"")</f>
        <v/>
      </c>
      <c r="F25" s="158">
        <f>IFERROR(SUM(F21:F24),"")</f>
        <v/>
      </c>
      <c r="G25" s="158">
        <f>IFERROR(SUM(G21:G24),"")</f>
        <v/>
      </c>
      <c r="H25" s="158">
        <f>IFERROR(SUM(H21:H24),"")</f>
        <v/>
      </c>
      <c r="I25" s="158">
        <f>IFERROR(SUM(I21:I24),"")</f>
        <v/>
      </c>
      <c r="J25" s="158">
        <f>IFERROR(SUM(J21:J24),"")</f>
        <v/>
      </c>
      <c r="K25" s="158">
        <f>IFERROR(SUM(K21:K24),"")</f>
        <v/>
      </c>
    </row>
    <row r="26" ht="16" customHeight="1" s="239">
      <c r="A26" s="157" t="inlineStr">
        <is>
          <t>Direct cost eliminations</t>
        </is>
      </c>
      <c r="B26" s="158">
        <f>IFERROR(-B25,"")</f>
        <v/>
      </c>
      <c r="C26" s="158">
        <f>IFERROR(-C25,"")</f>
        <v/>
      </c>
      <c r="D26" s="158">
        <f>IFERROR(-D25,"")</f>
        <v/>
      </c>
      <c r="E26" s="158">
        <f>IFERROR(-E25,"")</f>
        <v/>
      </c>
      <c r="F26" s="158">
        <f>IFERROR(-F25,"")</f>
        <v/>
      </c>
      <c r="G26" s="158">
        <f>IFERROR(-G25,"")</f>
        <v/>
      </c>
      <c r="H26" s="158">
        <f>IFERROR(-H25,"")</f>
        <v/>
      </c>
      <c r="I26" s="158">
        <f>IFERROR(-I25,"")</f>
        <v/>
      </c>
      <c r="J26" s="158">
        <f>IFERROR(-J25,"")</f>
        <v/>
      </c>
      <c r="K26" s="158">
        <f>IFERROR(-K25,"")</f>
        <v/>
      </c>
    </row>
    <row r="27" ht="16" customHeight="1" s="239">
      <c r="A27" s="157" t="inlineStr">
        <is>
          <t>EBITDA eliminations</t>
        </is>
      </c>
      <c r="B27" s="158">
        <f>IFERROR(B25+B26,"")</f>
        <v/>
      </c>
      <c r="C27" s="158">
        <f>IFERROR(C25+C26,"")</f>
        <v/>
      </c>
      <c r="D27" s="158">
        <f>IFERROR(D25+D26,"")</f>
        <v/>
      </c>
      <c r="E27" s="158">
        <f>IFERROR(E25+E26,"")</f>
        <v/>
      </c>
      <c r="F27" s="158">
        <f>IFERROR(F25+F26,"")</f>
        <v/>
      </c>
      <c r="G27" s="158">
        <f>IFERROR(G25+G26,"")</f>
        <v/>
      </c>
      <c r="H27" s="158">
        <f>IFERROR(H25+H26,"")</f>
        <v/>
      </c>
      <c r="I27" s="158">
        <f>IFERROR(I25+I26,"")</f>
        <v/>
      </c>
      <c r="J27" s="158">
        <f>IFERROR(J25+J26,"")</f>
        <v/>
      </c>
      <c r="K27" s="158">
        <f>IFERROR(K25+K26,"")</f>
        <v/>
      </c>
    </row>
    <row r="35">
      <c r="A35" s="265" t="inlineStr">
        <is>
          <t>Manure Transfers - Version 2</t>
        </is>
      </c>
    </row>
    <row r="36">
      <c r="A36" s="265" t="inlineStr">
        <is>
          <t>Line Item</t>
        </is>
      </c>
      <c r="B36" s="265" t="inlineStr">
        <is>
          <t>Y1</t>
        </is>
      </c>
      <c r="C36" s="265" t="inlineStr">
        <is>
          <t>Y2</t>
        </is>
      </c>
      <c r="D36" s="265" t="inlineStr">
        <is>
          <t>Y3</t>
        </is>
      </c>
      <c r="E36" s="265" t="inlineStr">
        <is>
          <t>Y4</t>
        </is>
      </c>
      <c r="F36" s="265" t="inlineStr">
        <is>
          <t>Y5</t>
        </is>
      </c>
      <c r="G36" s="265" t="inlineStr">
        <is>
          <t>Y6</t>
        </is>
      </c>
      <c r="H36" s="265" t="inlineStr">
        <is>
          <t>Y7</t>
        </is>
      </c>
      <c r="I36" s="265" t="inlineStr">
        <is>
          <t>Y8</t>
        </is>
      </c>
      <c r="J36" s="265" t="inlineStr">
        <is>
          <t>Y9</t>
        </is>
      </c>
      <c r="K36" s="265" t="inlineStr">
        <is>
          <t>Y10</t>
        </is>
      </c>
    </row>
    <row r="37">
      <c r="A37" s="394" t="inlineStr">
        <is>
          <t>Transfer Price Per Bag</t>
        </is>
      </c>
      <c r="B37">
        <f>IFERROR(ASSUMPTIONS!$N$14,"")</f>
        <v/>
      </c>
      <c r="C37">
        <f>IFERROR(ASSUMPTIONS!$N$14,"")</f>
        <v/>
      </c>
      <c r="D37">
        <f>IFERROR(ASSUMPTIONS!$N$14,"")</f>
        <v/>
      </c>
      <c r="E37">
        <f>IFERROR(ASSUMPTIONS!$N$14,"")</f>
        <v/>
      </c>
      <c r="F37">
        <f>IFERROR(ASSUMPTIONS!$N$14,"")</f>
        <v/>
      </c>
      <c r="G37">
        <f>IFERROR(ASSUMPTIONS!$N$14,"")</f>
        <v/>
      </c>
      <c r="H37">
        <f>IFERROR(ASSUMPTIONS!$N$14,"")</f>
        <v/>
      </c>
      <c r="I37">
        <f>IFERROR(ASSUMPTIONS!$N$14,"")</f>
        <v/>
      </c>
      <c r="J37">
        <f>IFERROR(ASSUMPTIONS!$N$14,"")</f>
        <v/>
      </c>
      <c r="K37">
        <f>IFERROR(ASSUMPTIONS!$N$14,"")</f>
        <v/>
      </c>
    </row>
    <row r="38">
      <c r="A38" s="394" t="inlineStr">
        <is>
          <t>Dairy To Feed Farm</t>
        </is>
      </c>
      <c r="B38">
        <f>IFERROR(DAIRY!B23*B37,"")</f>
        <v/>
      </c>
      <c r="C38">
        <f>IFERROR(DAIRY!C23*C37,"")</f>
        <v/>
      </c>
      <c r="D38">
        <f>IFERROR(DAIRY!D23*D37,"")</f>
        <v/>
      </c>
      <c r="E38">
        <f>IFERROR(DAIRY!E23*E37,"")</f>
        <v/>
      </c>
      <c r="F38">
        <f>IFERROR(DAIRY!F23*F37,"")</f>
        <v/>
      </c>
      <c r="G38">
        <f>IFERROR(DAIRY!G23*G37,"")</f>
        <v/>
      </c>
      <c r="H38">
        <f>IFERROR(DAIRY!H23*H37,"")</f>
        <v/>
      </c>
      <c r="I38">
        <f>IFERROR(DAIRY!I23*I37,"")</f>
        <v/>
      </c>
      <c r="J38">
        <f>IFERROR(DAIRY!J23*J37,"")</f>
        <v/>
      </c>
      <c r="K38">
        <f>IFERROR(DAIRY!K23*K37,"")</f>
        <v/>
      </c>
    </row>
    <row r="39">
      <c r="A39" s="394" t="inlineStr">
        <is>
          <t>Fattening To Feed Farm</t>
        </is>
      </c>
      <c r="B39">
        <f>IFERROR(FATTENING!B43*B37,"")</f>
        <v/>
      </c>
      <c r="C39">
        <f>IFERROR(FATTENING!C43*C37,"")</f>
        <v/>
      </c>
      <c r="D39">
        <f>IFERROR(FATTENING!D43*D37,"")</f>
        <v/>
      </c>
      <c r="E39">
        <f>IFERROR(FATTENING!E43*E37,"")</f>
        <v/>
      </c>
      <c r="F39">
        <f>IFERROR(FATTENING!F43*F37,"")</f>
        <v/>
      </c>
      <c r="G39">
        <f>IFERROR(FATTENING!G43*G37,"")</f>
        <v/>
      </c>
      <c r="H39">
        <f>IFERROR(FATTENING!H43*H37,"")</f>
        <v/>
      </c>
      <c r="I39">
        <f>IFERROR(FATTENING!I43*I37,"")</f>
        <v/>
      </c>
      <c r="J39">
        <f>IFERROR(FATTENING!J43*J37,"")</f>
        <v/>
      </c>
      <c r="K39">
        <f>IFERROR(FATTENING!K43*K37,"")</f>
        <v/>
      </c>
    </row>
    <row r="40">
      <c r="A40" s="394" t="inlineStr">
        <is>
          <t>Dairy To Biodigester</t>
        </is>
      </c>
      <c r="B40">
        <f>IFERROR(DAIRY!B25*B37,"")</f>
        <v/>
      </c>
      <c r="C40">
        <f>IFERROR(DAIRY!C25*C37,"")</f>
        <v/>
      </c>
      <c r="D40">
        <f>IFERROR(DAIRY!D25*D37,"")</f>
        <v/>
      </c>
      <c r="E40">
        <f>IFERROR(DAIRY!E25*E37,"")</f>
        <v/>
      </c>
      <c r="F40">
        <f>IFERROR(DAIRY!F25*F37,"")</f>
        <v/>
      </c>
      <c r="G40">
        <f>IFERROR(DAIRY!G25*G37,"")</f>
        <v/>
      </c>
      <c r="H40">
        <f>IFERROR(DAIRY!H25*H37,"")</f>
        <v/>
      </c>
      <c r="I40">
        <f>IFERROR(DAIRY!I25*I37,"")</f>
        <v/>
      </c>
      <c r="J40">
        <f>IFERROR(DAIRY!J25*J37,"")</f>
        <v/>
      </c>
      <c r="K40">
        <f>IFERROR(DAIRY!K25*K37,"")</f>
        <v/>
      </c>
    </row>
    <row r="41">
      <c r="A41" s="394" t="inlineStr">
        <is>
          <t>Fattening To Biodigester</t>
        </is>
      </c>
      <c r="B41">
        <f>IFERROR(FATTENING!B45*B37,"")</f>
        <v/>
      </c>
      <c r="C41">
        <f>IFERROR(FATTENING!C45*C37,"")</f>
        <v/>
      </c>
      <c r="D41">
        <f>IFERROR(FATTENING!D45*D37,"")</f>
        <v/>
      </c>
      <c r="E41">
        <f>IFERROR(FATTENING!E45*E37,"")</f>
        <v/>
      </c>
      <c r="F41">
        <f>IFERROR(FATTENING!F45*F37,"")</f>
        <v/>
      </c>
      <c r="G41">
        <f>IFERROR(FATTENING!G45*G37,"")</f>
        <v/>
      </c>
      <c r="H41">
        <f>IFERROR(FATTENING!H45*H37,"")</f>
        <v/>
      </c>
      <c r="I41">
        <f>IFERROR(FATTENING!I45*I37,"")</f>
        <v/>
      </c>
      <c r="J41">
        <f>IFERROR(FATTENING!J45*J37,"")</f>
        <v/>
      </c>
      <c r="K41">
        <f>IFERROR(FATTENING!K45*K37,"")</f>
        <v/>
      </c>
    </row>
    <row r="42">
      <c r="A42" s="393" t="inlineStr">
        <is>
          <t>Total Internal Manure Transfers</t>
        </is>
      </c>
      <c r="B42">
        <f>IFERROR(SUM(B38:B41),"")</f>
        <v/>
      </c>
      <c r="C42">
        <f>IFERROR(SUM(C38:C41),"")</f>
        <v/>
      </c>
      <c r="D42">
        <f>IFERROR(SUM(D38:D41),"")</f>
        <v/>
      </c>
      <c r="E42">
        <f>IFERROR(SUM(E38:E41),"")</f>
        <v/>
      </c>
      <c r="F42">
        <f>IFERROR(SUM(F38:F41),"")</f>
        <v/>
      </c>
      <c r="G42">
        <f>IFERROR(SUM(G38:G41),"")</f>
        <v/>
      </c>
      <c r="H42">
        <f>IFERROR(SUM(H38:H41),"")</f>
        <v/>
      </c>
      <c r="I42">
        <f>IFERROR(SUM(I38:I41),"")</f>
        <v/>
      </c>
      <c r="J42">
        <f>IFERROR(SUM(J38:J41),"")</f>
        <v/>
      </c>
      <c r="K42">
        <f>IFERROR(SUM(K38:K41),"")</f>
        <v/>
      </c>
    </row>
    <row r="43">
      <c r="A43" s="394" t="inlineStr">
        <is>
          <t>Consolidation Elimination</t>
        </is>
      </c>
      <c r="B43">
        <f>IFERROR(-B42,"")</f>
        <v/>
      </c>
      <c r="C43">
        <f>IFERROR(-C42,"")</f>
        <v/>
      </c>
      <c r="D43">
        <f>IFERROR(-D42,"")</f>
        <v/>
      </c>
      <c r="E43">
        <f>IFERROR(-E42,"")</f>
        <v/>
      </c>
      <c r="F43">
        <f>IFERROR(-F42,"")</f>
        <v/>
      </c>
      <c r="G43">
        <f>IFERROR(-G42,"")</f>
        <v/>
      </c>
      <c r="H43">
        <f>IFERROR(-H42,"")</f>
        <v/>
      </c>
      <c r="I43">
        <f>IFERROR(-I42,"")</f>
        <v/>
      </c>
      <c r="J43">
        <f>IFERROR(-J42,"")</f>
        <v/>
      </c>
      <c r="K43">
        <f>IFERROR(-K42,"")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topLeftCell="A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baseColWidth="10" defaultColWidth="8.83203125" defaultRowHeight="15"/>
  <cols>
    <col width="34" customWidth="1" style="239" min="1" max="1"/>
    <col width="18" customWidth="1" style="239" min="2" max="7"/>
    <col width="40" customWidth="1" style="239" min="8" max="8"/>
    <col width="18" customWidth="1" style="239" min="9" max="12"/>
  </cols>
  <sheetData>
    <row r="1" ht="15" customHeight="1" s="239">
      <c r="A1" s="204" t="inlineStr">
        <is>
          <t>Master OPEX Allocation Engine</t>
        </is>
      </c>
      <c r="B1" s="198" t="n"/>
      <c r="C1" s="198" t="n"/>
      <c r="D1" s="198" t="n"/>
      <c r="E1" s="198" t="n"/>
      <c r="F1" s="198" t="n"/>
      <c r="G1" s="198" t="n"/>
      <c r="H1" s="198" t="n"/>
      <c r="I1" s="198" t="n"/>
      <c r="J1" s="198" t="n"/>
      <c r="K1" s="198" t="n"/>
    </row>
    <row r="2" ht="15" customHeight="1" s="239">
      <c r="A2" s="205" t="inlineStr">
        <is>
          <t>Click linked line-item names to jump to the supporting appendix detail.</t>
        </is>
      </c>
      <c r="B2" s="198" t="n"/>
      <c r="C2" s="198" t="n"/>
      <c r="D2" s="198" t="n"/>
      <c r="E2" s="198" t="n"/>
      <c r="F2" s="198" t="n"/>
      <c r="G2" s="198" t="n"/>
      <c r="H2" s="198" t="n"/>
      <c r="I2" s="198" t="n"/>
      <c r="J2" s="198" t="n"/>
      <c r="K2" s="198" t="n"/>
    </row>
    <row r="3" ht="15" customFormat="1" customHeight="1" s="20">
      <c r="A3" s="206" t="inlineStr">
        <is>
          <t>Year</t>
        </is>
      </c>
      <c r="B3" s="200" t="n">
        <v>1</v>
      </c>
      <c r="C3" s="200" t="n">
        <v>2</v>
      </c>
      <c r="D3" s="200" t="n">
        <v>3</v>
      </c>
      <c r="E3" s="200" t="n">
        <v>4</v>
      </c>
      <c r="F3" s="200" t="n">
        <v>5</v>
      </c>
      <c r="G3" s="200" t="n">
        <v>6</v>
      </c>
      <c r="H3" s="200" t="n">
        <v>7</v>
      </c>
      <c r="I3" s="200" t="n">
        <v>8</v>
      </c>
      <c r="J3" s="200" t="n">
        <v>9</v>
      </c>
      <c r="K3" s="200" t="n">
        <v>10</v>
      </c>
    </row>
    <row r="4" ht="15" customHeight="1" s="239">
      <c r="A4" s="207" t="inlineStr">
        <is>
          <t>Feed Supplements</t>
        </is>
      </c>
      <c r="B4" s="140">
        <f>IFERROR(OPEX_APPENDIX!B100,"")</f>
        <v/>
      </c>
      <c r="C4" s="140">
        <f>IFERROR(OPEX_APPENDIX!B101,"")</f>
        <v/>
      </c>
      <c r="D4" s="140">
        <f>IFERROR(OPEX_APPENDIX!B102,"")</f>
        <v/>
      </c>
      <c r="E4" s="140">
        <f>IFERROR(OPEX_APPENDIX!B103,"")</f>
        <v/>
      </c>
      <c r="F4" s="140">
        <f>IFERROR(OPEX_APPENDIX!B104,"")</f>
        <v/>
      </c>
      <c r="G4" s="140">
        <f>IFERROR(OPEX_APPENDIX!B105,"")</f>
        <v/>
      </c>
      <c r="H4" s="140">
        <f>IFERROR(OPEX_APPENDIX!B106,"")</f>
        <v/>
      </c>
      <c r="I4" s="140">
        <f>IFERROR(OPEX_APPENDIX!B107,"")</f>
        <v/>
      </c>
      <c r="J4" s="140">
        <f>IFERROR(OPEX_APPENDIX!B108,"")</f>
        <v/>
      </c>
      <c r="K4" s="140">
        <f>IFERROR(OPEX_APPENDIX!B109,"")</f>
        <v/>
      </c>
    </row>
    <row r="5" ht="15" customHeight="1" s="239">
      <c r="A5" s="207" t="inlineStr">
        <is>
          <t>Vet</t>
        </is>
      </c>
      <c r="B5" s="140">
        <f>IFERROR(OPEX_APPENDIX!C100,"")</f>
        <v/>
      </c>
      <c r="C5" s="140">
        <f>IFERROR(OPEX_APPENDIX!C101,"")</f>
        <v/>
      </c>
      <c r="D5" s="140">
        <f>IFERROR(OPEX_APPENDIX!C102,"")</f>
        <v/>
      </c>
      <c r="E5" s="140">
        <f>IFERROR(OPEX_APPENDIX!C103,"")</f>
        <v/>
      </c>
      <c r="F5" s="140">
        <f>IFERROR(OPEX_APPENDIX!C104,"")</f>
        <v/>
      </c>
      <c r="G5" s="140">
        <f>IFERROR(OPEX_APPENDIX!C105,"")</f>
        <v/>
      </c>
      <c r="H5" s="140">
        <f>IFERROR(OPEX_APPENDIX!C106,"")</f>
        <v/>
      </c>
      <c r="I5" s="140">
        <f>IFERROR(OPEX_APPENDIX!C107,"")</f>
        <v/>
      </c>
      <c r="J5" s="140">
        <f>IFERROR(OPEX_APPENDIX!C108,"")</f>
        <v/>
      </c>
      <c r="K5" s="140">
        <f>IFERROR(OPEX_APPENDIX!C109,"")</f>
        <v/>
      </c>
    </row>
    <row r="6" ht="15" customHeight="1" s="239">
      <c r="A6" s="207" t="inlineStr">
        <is>
          <t>Payroll</t>
        </is>
      </c>
      <c r="B6" s="140">
        <f>IFERROR(OPEX_APPENDIX!D100,"")</f>
        <v/>
      </c>
      <c r="C6" s="140">
        <f>IFERROR(OPEX_APPENDIX!D101,"")</f>
        <v/>
      </c>
      <c r="D6" s="140">
        <f>IFERROR(OPEX_APPENDIX!D102,"")</f>
        <v/>
      </c>
      <c r="E6" s="140">
        <f>IFERROR(OPEX_APPENDIX!D103,"")</f>
        <v/>
      </c>
      <c r="F6" s="140">
        <f>IFERROR(OPEX_APPENDIX!D104,"")</f>
        <v/>
      </c>
      <c r="G6" s="140">
        <f>IFERROR(OPEX_APPENDIX!D105,"")</f>
        <v/>
      </c>
      <c r="H6" s="140">
        <f>IFERROR(OPEX_APPENDIX!D106,"")</f>
        <v/>
      </c>
      <c r="I6" s="140">
        <f>IFERROR(OPEX_APPENDIX!D107,"")</f>
        <v/>
      </c>
      <c r="J6" s="140">
        <f>IFERROR(OPEX_APPENDIX!D108,"")</f>
        <v/>
      </c>
      <c r="K6" s="140">
        <f>IFERROR(OPEX_APPENDIX!D109,"")</f>
        <v/>
      </c>
    </row>
    <row r="7" ht="15" customHeight="1" s="239">
      <c r="A7" s="207" t="inlineStr">
        <is>
          <t>Utilities</t>
        </is>
      </c>
      <c r="B7" s="140">
        <f>IFERROR(OPEX_APPENDIX!E100,"")</f>
        <v/>
      </c>
      <c r="C7" s="140">
        <f>IFERROR(OPEX_APPENDIX!E101,"")</f>
        <v/>
      </c>
      <c r="D7" s="140">
        <f>IFERROR(OPEX_APPENDIX!E102,"")</f>
        <v/>
      </c>
      <c r="E7" s="140">
        <f>IFERROR(OPEX_APPENDIX!E103,"")</f>
        <v/>
      </c>
      <c r="F7" s="140">
        <f>IFERROR(OPEX_APPENDIX!E104,"")</f>
        <v/>
      </c>
      <c r="G7" s="140">
        <f>IFERROR(OPEX_APPENDIX!E105,"")</f>
        <v/>
      </c>
      <c r="H7" s="140">
        <f>IFERROR(OPEX_APPENDIX!E106,"")</f>
        <v/>
      </c>
      <c r="I7" s="140">
        <f>IFERROR(OPEX_APPENDIX!E107,"")</f>
        <v/>
      </c>
      <c r="J7" s="140">
        <f>IFERROR(OPEX_APPENDIX!E108,"")</f>
        <v/>
      </c>
      <c r="K7" s="140">
        <f>IFERROR(OPEX_APPENDIX!E109,"")</f>
        <v/>
      </c>
    </row>
    <row r="8" ht="15" customHeight="1" s="239">
      <c r="A8" s="207" t="inlineStr">
        <is>
          <t>Fuel</t>
        </is>
      </c>
      <c r="B8" s="140">
        <f>IFERROR(OPEX_APPENDIX!F100,"")</f>
        <v/>
      </c>
      <c r="C8" s="140">
        <f>IFERROR(OPEX_APPENDIX!F101,"")</f>
        <v/>
      </c>
      <c r="D8" s="140">
        <f>IFERROR(OPEX_APPENDIX!F102,"")</f>
        <v/>
      </c>
      <c r="E8" s="140">
        <f>IFERROR(OPEX_APPENDIX!F103,"")</f>
        <v/>
      </c>
      <c r="F8" s="140">
        <f>IFERROR(OPEX_APPENDIX!F104,"")</f>
        <v/>
      </c>
      <c r="G8" s="169">
        <f>IFERROR(OPEX_APPENDIX!F105,"")</f>
        <v/>
      </c>
      <c r="H8" s="140">
        <f>IFERROR(OPEX_APPENDIX!F106,"")</f>
        <v/>
      </c>
      <c r="I8" s="140">
        <f>IFERROR(OPEX_APPENDIX!F107,"")</f>
        <v/>
      </c>
      <c r="J8" s="140">
        <f>IFERROR(OPEX_APPENDIX!F108,"")</f>
        <v/>
      </c>
      <c r="K8" s="140">
        <f>IFERROR(OPEX_APPENDIX!F109,"")</f>
        <v/>
      </c>
    </row>
    <row r="9" ht="15" customHeight="1" s="239">
      <c r="A9" s="207" t="inlineStr">
        <is>
          <t>Admin</t>
        </is>
      </c>
      <c r="B9" s="140">
        <f>IFERROR(OPEX_APPENDIX!G100,"")</f>
        <v/>
      </c>
      <c r="C9" s="140">
        <f>IFERROR(OPEX_APPENDIX!G101,"")</f>
        <v/>
      </c>
      <c r="D9" s="140">
        <f>IFERROR(OPEX_APPENDIX!G102,"")</f>
        <v/>
      </c>
      <c r="E9" s="140">
        <f>IFERROR(OPEX_APPENDIX!G103,"")</f>
        <v/>
      </c>
      <c r="F9" s="140">
        <f>IFERROR(OPEX_APPENDIX!G104,"")</f>
        <v/>
      </c>
      <c r="G9" s="140">
        <f>IFERROR(OPEX_APPENDIX!G105,"")</f>
        <v/>
      </c>
      <c r="H9" s="140">
        <f>IFERROR(OPEX_APPENDIX!G106,"")</f>
        <v/>
      </c>
      <c r="I9" s="140">
        <f>IFERROR(OPEX_APPENDIX!G107,"")</f>
        <v/>
      </c>
      <c r="J9" s="140">
        <f>IFERROR(OPEX_APPENDIX!G108,"")</f>
        <v/>
      </c>
      <c r="K9" s="140">
        <f>IFERROR(OPEX_APPENDIX!G109,"")</f>
        <v/>
      </c>
    </row>
    <row r="10" ht="15" customHeight="1" s="239">
      <c r="A10" s="207" t="inlineStr">
        <is>
          <t>Security</t>
        </is>
      </c>
      <c r="B10" s="140">
        <f>IFERROR(OPEX_APPENDIX!H100,"")</f>
        <v/>
      </c>
      <c r="C10" s="140">
        <f>IFERROR(OPEX_APPENDIX!H101,"")</f>
        <v/>
      </c>
      <c r="D10" s="140">
        <f>IFERROR(OPEX_APPENDIX!H102,"")</f>
        <v/>
      </c>
      <c r="E10" s="140">
        <f>IFERROR(OPEX_APPENDIX!H103,"")</f>
        <v/>
      </c>
      <c r="F10" s="140">
        <f>IFERROR(OPEX_APPENDIX!H104,"")</f>
        <v/>
      </c>
      <c r="G10" s="140">
        <f>IFERROR(OPEX_APPENDIX!H105,"")</f>
        <v/>
      </c>
      <c r="H10" s="140">
        <f>IFERROR(OPEX_APPENDIX!H106,"")</f>
        <v/>
      </c>
      <c r="I10" s="140">
        <f>IFERROR(OPEX_APPENDIX!H107,"")</f>
        <v/>
      </c>
      <c r="J10" s="140">
        <f>IFERROR(OPEX_APPENDIX!H108,"")</f>
        <v/>
      </c>
      <c r="K10" s="140">
        <f>IFERROR(OPEX_APPENDIX!H109,"")</f>
        <v/>
      </c>
    </row>
    <row r="11" ht="15" customHeight="1" s="239">
      <c r="A11" s="207" t="inlineStr">
        <is>
          <t>Repairs</t>
        </is>
      </c>
      <c r="B11" s="140">
        <f>IFERROR(OPEX_APPENDIX!I100,"")</f>
        <v/>
      </c>
      <c r="C11" s="140">
        <f>IFERROR(OPEX_APPENDIX!I101,"")</f>
        <v/>
      </c>
      <c r="D11" s="140">
        <f>IFERROR(OPEX_APPENDIX!I102,"")</f>
        <v/>
      </c>
      <c r="E11" s="140">
        <f>IFERROR(OPEX_APPENDIX!I103,"")</f>
        <v/>
      </c>
      <c r="F11" s="140">
        <f>IFERROR(OPEX_APPENDIX!I104,"")</f>
        <v/>
      </c>
      <c r="G11" s="140">
        <f>IFERROR(OPEX_APPENDIX!I105,"")</f>
        <v/>
      </c>
      <c r="H11" s="140">
        <f>IFERROR(OPEX_APPENDIX!I106,"")</f>
        <v/>
      </c>
      <c r="I11" s="140">
        <f>IFERROR(OPEX_APPENDIX!I107,"")</f>
        <v/>
      </c>
      <c r="J11" s="140">
        <f>IFERROR(OPEX_APPENDIX!I108,"")</f>
        <v/>
      </c>
      <c r="K11" s="140">
        <f>IFERROR(OPEX_APPENDIX!I109,"")</f>
        <v/>
      </c>
    </row>
    <row r="12" ht="15" customHeight="1" s="239">
      <c r="A12" s="207" t="inlineStr">
        <is>
          <t>Insurance</t>
        </is>
      </c>
      <c r="B12" s="140">
        <f>IFERROR(OPEX_APPENDIX!J100,"")</f>
        <v/>
      </c>
      <c r="C12" s="140">
        <f>IFERROR(OPEX_APPENDIX!J101,"")</f>
        <v/>
      </c>
      <c r="D12" s="140">
        <f>IFERROR(OPEX_APPENDIX!J102,"")</f>
        <v/>
      </c>
      <c r="E12" s="140">
        <f>IFERROR(OPEX_APPENDIX!J103,"")</f>
        <v/>
      </c>
      <c r="F12" s="140">
        <f>IFERROR(OPEX_APPENDIX!J104,"")</f>
        <v/>
      </c>
      <c r="G12" s="140">
        <f>IFERROR(OPEX_APPENDIX!J105,"")</f>
        <v/>
      </c>
      <c r="H12" s="140">
        <f>IFERROR(OPEX_APPENDIX!J106,"")</f>
        <v/>
      </c>
      <c r="I12" s="140">
        <f>IFERROR(OPEX_APPENDIX!J107,"")</f>
        <v/>
      </c>
      <c r="J12" s="140">
        <f>IFERROR(OPEX_APPENDIX!J108,"")</f>
        <v/>
      </c>
      <c r="K12" s="140">
        <f>IFERROR(OPEX_APPENDIX!J109,"")</f>
        <v/>
      </c>
    </row>
    <row r="13" ht="15" customHeight="1" s="239">
      <c r="A13" s="207" t="inlineStr">
        <is>
          <t>Misc</t>
        </is>
      </c>
      <c r="B13" s="140">
        <f>IFERROR(OPEX_APPENDIX!K100,"")</f>
        <v/>
      </c>
      <c r="C13" s="140">
        <f>IFERROR(OPEX_APPENDIX!K101,"")</f>
        <v/>
      </c>
      <c r="D13" s="140">
        <f>IFERROR(OPEX_APPENDIX!K102,"")</f>
        <v/>
      </c>
      <c r="E13" s="140">
        <f>IFERROR(OPEX_APPENDIX!K103,"")</f>
        <v/>
      </c>
      <c r="F13" s="140">
        <f>IFERROR(OPEX_APPENDIX!K104,"")</f>
        <v/>
      </c>
      <c r="G13" s="140">
        <f>IFERROR(OPEX_APPENDIX!K105,"")</f>
        <v/>
      </c>
      <c r="H13" s="140">
        <f>IFERROR(OPEX_APPENDIX!K106,"")</f>
        <v/>
      </c>
      <c r="I13" s="140">
        <f>IFERROR(OPEX_APPENDIX!K107,"")</f>
        <v/>
      </c>
      <c r="J13" s="140">
        <f>IFERROR(OPEX_APPENDIX!K108,"")</f>
        <v/>
      </c>
      <c r="K13" s="140">
        <f>IFERROR(OPEX_APPENDIX!K109,"")</f>
        <v/>
      </c>
    </row>
    <row r="14" ht="15" customHeight="1" s="239">
      <c r="A14" s="207" t="inlineStr">
        <is>
          <t>Total OPEX</t>
        </is>
      </c>
      <c r="B14" s="140">
        <f>IFERROR(MAX(0,SUM(B4:B13)-B39),"")</f>
        <v/>
      </c>
      <c r="C14" s="140">
        <f>IFERROR(MAX(0,SUM(C4:C13)-C39),"")</f>
        <v/>
      </c>
      <c r="D14" s="140">
        <f>IFERROR(MAX(0,SUM(D4:D13)-D39),"")</f>
        <v/>
      </c>
      <c r="E14" s="140">
        <f>IFERROR(MAX(0,SUM(E4:E13)-E39),"")</f>
        <v/>
      </c>
      <c r="F14" s="140">
        <f>IFERROR(MAX(0,SUM(F4:F13)-F39),"")</f>
        <v/>
      </c>
      <c r="G14" s="140">
        <f>IFERROR(MAX(0,SUM(G4:G13)-G39),"")</f>
        <v/>
      </c>
      <c r="H14" s="140">
        <f>IFERROR(MAX(0,SUM(H4:H13)-H39),"")</f>
        <v/>
      </c>
      <c r="I14" s="140">
        <f>IFERROR(MAX(0,SUM(I4:I13)-I39),"")</f>
        <v/>
      </c>
      <c r="J14" s="140">
        <f>IFERROR(MAX(0,SUM(J4:J13)-J39),"")</f>
        <v/>
      </c>
      <c r="K14" s="140">
        <f>IFERROR(MAX(0,SUM(K4:K13)-K39),"")</f>
        <v/>
      </c>
    </row>
    <row r="15">
      <c r="A15" s="198" t="n"/>
      <c r="B15" s="198" t="n"/>
      <c r="C15" s="198" t="n"/>
      <c r="D15" s="198" t="n"/>
      <c r="E15" s="198" t="n"/>
      <c r="F15" s="198" t="n"/>
      <c r="G15" s="198" t="n"/>
      <c r="H15" s="198" t="n"/>
      <c r="I15" s="198" t="n"/>
      <c r="J15" s="198" t="n"/>
      <c r="K15" s="198" t="n"/>
    </row>
    <row r="16">
      <c r="A16" s="198" t="n"/>
      <c r="B16" s="198" t="n"/>
      <c r="C16" s="198" t="n"/>
      <c r="D16" s="198" t="n"/>
      <c r="E16" s="198" t="n"/>
      <c r="F16" s="198" t="n"/>
      <c r="G16" s="198" t="n"/>
      <c r="H16" s="198" t="n"/>
      <c r="I16" s="198" t="n"/>
      <c r="J16" s="198" t="n"/>
      <c r="K16" s="198" t="n"/>
    </row>
    <row r="17">
      <c r="A17" s="198" t="n"/>
      <c r="B17" s="198" t="n"/>
      <c r="C17" s="198" t="n"/>
      <c r="D17" s="198" t="n"/>
      <c r="E17" s="198" t="n"/>
      <c r="F17" s="198" t="n"/>
      <c r="G17" s="198" t="n"/>
      <c r="H17" s="198" t="n"/>
      <c r="I17" s="198" t="n"/>
      <c r="J17" s="198" t="n"/>
      <c r="K17" s="198" t="n"/>
    </row>
    <row r="18">
      <c r="A18" s="198" t="n"/>
      <c r="B18" s="198" t="n"/>
      <c r="C18" s="198" t="n"/>
      <c r="D18" s="198" t="n"/>
      <c r="E18" s="198" t="n"/>
      <c r="F18" s="198" t="n"/>
      <c r="G18" s="198" t="n"/>
      <c r="H18" s="198" t="n"/>
      <c r="I18" s="198" t="n"/>
      <c r="J18" s="198" t="n"/>
      <c r="K18" s="198" t="n"/>
    </row>
    <row r="19">
      <c r="A19" s="198" t="n"/>
      <c r="B19" s="198" t="n"/>
      <c r="C19" s="198" t="n"/>
      <c r="D19" s="198" t="n"/>
      <c r="E19" s="198" t="n"/>
      <c r="F19" s="198" t="n"/>
      <c r="G19" s="198" t="n"/>
      <c r="H19" s="198" t="n"/>
      <c r="I19" s="198" t="n"/>
      <c r="J19" s="198" t="n"/>
      <c r="K19" s="198" t="n"/>
    </row>
    <row r="20" ht="16" customHeight="1" s="239">
      <c r="A20" s="208" t="inlineStr">
        <is>
          <t>Business Unit OPEX Allocation</t>
        </is>
      </c>
      <c r="B20" s="201" t="n"/>
      <c r="C20" s="201" t="n"/>
      <c r="D20" s="201" t="n"/>
      <c r="E20" s="201" t="n"/>
      <c r="F20" s="201" t="n"/>
      <c r="G20" s="201" t="n"/>
      <c r="H20" s="201" t="n"/>
      <c r="I20" s="198" t="n"/>
      <c r="J20" s="198" t="n"/>
      <c r="K20" s="198" t="n"/>
    </row>
    <row r="21" ht="16" customHeight="1" s="239">
      <c r="A21" s="202" t="inlineStr">
        <is>
          <t>Cost Line</t>
        </is>
      </c>
      <c r="B21" s="202" t="inlineStr">
        <is>
          <t>Feed Farm</t>
        </is>
      </c>
      <c r="C21" s="202" t="inlineStr">
        <is>
          <t>Dairy</t>
        </is>
      </c>
      <c r="D21" s="202" t="inlineStr">
        <is>
          <t>Fattening</t>
        </is>
      </c>
      <c r="E21" s="202" t="inlineStr">
        <is>
          <t>Logistics</t>
        </is>
      </c>
      <c r="F21" s="202" t="inlineStr">
        <is>
          <t>Corporate/Admin</t>
        </is>
      </c>
      <c r="G21" s="202" t="inlineStr">
        <is>
          <t>Consolidated</t>
        </is>
      </c>
      <c r="H21" s="202" t="inlineStr">
        <is>
          <t>Notes</t>
        </is>
      </c>
      <c r="I21" s="198" t="n"/>
      <c r="J21" s="198" t="n"/>
      <c r="K21" s="198" t="n"/>
    </row>
    <row r="22" ht="16" customHeight="1" s="239">
      <c r="A22" s="198" t="inlineStr">
        <is>
          <t>Feed Farm - Seeds</t>
        </is>
      </c>
      <c r="B22" s="140">
        <f>IFERROR(FEED_FARM!B4*(OPEX_APPENDIX!$C$27+OPEX_APPENDIX!$C$28+OPEX_APPENDIX!$C$29+OPEX_APPENDIX!$C$30+OPEX_APPENDIX!$C$31),"")</f>
        <v/>
      </c>
      <c r="C22" s="197" t="n">
        <v>0</v>
      </c>
      <c r="D22" s="197" t="n">
        <v>0</v>
      </c>
      <c r="E22" s="197" t="n">
        <v>0</v>
      </c>
      <c r="F22" s="197" t="n">
        <v>0</v>
      </c>
      <c r="G22" s="140">
        <f>IFERROR(SUM(B22:F22),"")</f>
        <v/>
      </c>
      <c r="H22" s="198" t="inlineStr">
        <is>
          <t>Specific crop seed costs</t>
        </is>
      </c>
      <c r="I22" s="198" t="n"/>
      <c r="J22" s="198" t="n"/>
      <c r="K22" s="198" t="n"/>
    </row>
    <row r="23" ht="16" customHeight="1" s="239">
      <c r="A23" s="198" t="inlineStr">
        <is>
          <t>Feed Farm - Fertilizer / agrochemicals</t>
        </is>
      </c>
      <c r="B23" s="140">
        <f>IFERROR(FEED_FARM!B4*(OPEX_APPENDIX!$C$32+OPEX_APPENDIX!$C$33+OPEX_APPENDIX!$C$34),"")</f>
        <v/>
      </c>
      <c r="C23" s="197" t="n">
        <v>0</v>
      </c>
      <c r="D23" s="197" t="n">
        <v>0</v>
      </c>
      <c r="E23" s="197" t="n">
        <v>0</v>
      </c>
      <c r="F23" s="197" t="n">
        <v>0</v>
      </c>
      <c r="G23" s="140">
        <f>IFERROR(SUM(B23:F23),"")</f>
        <v/>
      </c>
      <c r="H23" s="198" t="inlineStr">
        <is>
          <t>Fertilizer, herbicide, pesticides</t>
        </is>
      </c>
      <c r="I23" s="198" t="n"/>
      <c r="J23" s="198" t="n"/>
      <c r="K23" s="198" t="n"/>
    </row>
    <row r="24" ht="16" customHeight="1" s="239">
      <c r="A24" s="198" t="inlineStr">
        <is>
          <t>Feed Farm - Irrigation / tractor ops</t>
        </is>
      </c>
      <c r="B24" s="140">
        <f>IFERROR(FEED_FARM!B4*(OPEX_APPENDIX!$C$35+OPEX_APPENDIX!$C$36),"")</f>
        <v/>
      </c>
      <c r="C24" s="197" t="n">
        <v>0</v>
      </c>
      <c r="D24" s="197" t="n">
        <v>0</v>
      </c>
      <c r="E24" s="197" t="n">
        <v>0</v>
      </c>
      <c r="F24" s="197" t="n">
        <v>0</v>
      </c>
      <c r="G24" s="140">
        <f>IFERROR(SUM(B24:F24),"")</f>
        <v/>
      </c>
      <c r="H24" s="198" t="inlineStr">
        <is>
          <t>Irrigation and tractor operations</t>
        </is>
      </c>
      <c r="I24" s="198" t="n"/>
      <c r="J24" s="198" t="n"/>
      <c r="K24" s="198" t="n"/>
    </row>
    <row r="25" ht="16" customHeight="1" s="239">
      <c r="A25" s="198" t="inlineStr">
        <is>
          <t>Dairy - Feed</t>
        </is>
      </c>
      <c r="B25" s="197" t="n">
        <v>0</v>
      </c>
      <c r="C25" s="140">
        <f>IFERROR(FEED_FARM!B14*TRANSFER_PRICING!E4,"")</f>
        <v/>
      </c>
      <c r="D25" s="197" t="n">
        <v>0</v>
      </c>
      <c r="E25" s="197" t="n">
        <v>0</v>
      </c>
      <c r="F25" s="197" t="n">
        <v>0</v>
      </c>
      <c r="G25" s="140">
        <f>IFERROR(SUM(B25:F25),"")</f>
        <v/>
      </c>
      <c r="H25" s="198" t="inlineStr">
        <is>
          <t>Internal feed expense</t>
        </is>
      </c>
      <c r="I25" s="198" t="n"/>
      <c r="J25" s="198" t="n"/>
      <c r="K25" s="198" t="n"/>
    </row>
    <row r="26" ht="16" customHeight="1" s="239">
      <c r="A26" s="198" t="inlineStr">
        <is>
          <t>Dairy - Vet / medicines / AI</t>
        </is>
      </c>
      <c r="B26" s="197" t="n">
        <v>0</v>
      </c>
      <c r="C26" s="140">
        <f>IFERROR(OPEX!B5,"")</f>
        <v/>
      </c>
      <c r="D26" s="197" t="n">
        <v>0</v>
      </c>
      <c r="E26" s="197" t="n">
        <v>0</v>
      </c>
      <c r="F26" s="197" t="n">
        <v>0</v>
      </c>
      <c r="G26" s="140">
        <f>IFERROR(SUM(B26:F26),"")</f>
        <v/>
      </c>
      <c r="H26" s="198" t="inlineStr">
        <is>
          <t>Existing vet cost proxy</t>
        </is>
      </c>
      <c r="I26" s="198" t="n"/>
      <c r="J26" s="198" t="n"/>
      <c r="K26" s="198" t="n"/>
    </row>
    <row r="27" ht="16" customHeight="1" s="239">
      <c r="A27" s="198" t="inlineStr">
        <is>
          <t>Dairy - Labour / utilities / maintenance</t>
        </is>
      </c>
      <c r="B27" s="197" t="n">
        <v>0</v>
      </c>
      <c r="C27" s="140">
        <f>IFERROR(SUM(OPEX!B6:B11),"")</f>
        <v/>
      </c>
      <c r="D27" s="197" t="n">
        <v>0</v>
      </c>
      <c r="E27" s="197" t="n">
        <v>0</v>
      </c>
      <c r="F27" s="197" t="n">
        <v>0</v>
      </c>
      <c r="G27" s="140">
        <f>IFERROR(SUM(B27:F27),"")</f>
        <v/>
      </c>
      <c r="H27" s="198" t="inlineStr">
        <is>
          <t>Existing dairy OPEX proxy</t>
        </is>
      </c>
      <c r="I27" s="198" t="n"/>
      <c r="J27" s="198" t="n"/>
      <c r="K27" s="198" t="n"/>
    </row>
    <row r="28" ht="16" customHeight="1" s="239">
      <c r="A28" s="198" t="inlineStr">
        <is>
          <t>Fattening - Bull purchases</t>
        </is>
      </c>
      <c r="B28" s="197" t="n">
        <v>0</v>
      </c>
      <c r="C28" s="197" t="n">
        <v>0</v>
      </c>
      <c r="D28" s="140">
        <f>IFERROR(FATTENING!B16,"")</f>
        <v/>
      </c>
      <c r="E28" s="197" t="n">
        <v>0</v>
      </c>
      <c r="F28" s="197" t="n">
        <v>0</v>
      </c>
      <c r="G28" s="140">
        <f>IFERROR(SUM(B28:F28),"")</f>
        <v/>
      </c>
      <c r="H28" s="198" t="inlineStr">
        <is>
          <t>Purchase cost charged before CFADS</t>
        </is>
      </c>
      <c r="I28" s="198" t="n"/>
      <c r="J28" s="198" t="n"/>
      <c r="K28" s="198" t="n"/>
    </row>
    <row r="29" ht="16" customHeight="1" s="239">
      <c r="A29" s="198" t="inlineStr">
        <is>
          <t>Fattening - Feed / vet / labour</t>
        </is>
      </c>
      <c r="B29" s="197" t="n">
        <v>0</v>
      </c>
      <c r="C29" s="197" t="n">
        <v>0</v>
      </c>
      <c r="D29" s="140">
        <f>IFERROR(SUM(FATTENING!B17:B19),"")</f>
        <v/>
      </c>
      <c r="E29" s="197" t="n">
        <v>0</v>
      </c>
      <c r="F29" s="197" t="n">
        <v>0</v>
      </c>
      <c r="G29" s="140">
        <f>IFERROR(SUM(B29:F29),"")</f>
        <v/>
      </c>
      <c r="H29" s="198" t="inlineStr">
        <is>
          <t>Specific fattening costs</t>
        </is>
      </c>
      <c r="I29" s="198" t="n"/>
      <c r="J29" s="198" t="n"/>
      <c r="K29" s="198" t="n"/>
    </row>
    <row r="30" ht="32" customHeight="1" s="239">
      <c r="A30" s="198" t="inlineStr">
        <is>
          <t>Logistics - Fuel / drivers / repairs / insurance</t>
        </is>
      </c>
      <c r="B30" s="197" t="n">
        <v>0</v>
      </c>
      <c r="C30" s="197" t="n">
        <v>0</v>
      </c>
      <c r="D30" s="197" t="n">
        <v>0</v>
      </c>
      <c r="E30" s="140">
        <f>IFERROR(LOGISTICS!B10,"")</f>
        <v/>
      </c>
      <c r="F30" s="197" t="n">
        <v>0</v>
      </c>
      <c r="G30" s="140">
        <f>IFERROR(SUM(B30:F30),"")</f>
        <v/>
      </c>
      <c r="H30" s="198" t="inlineStr">
        <is>
          <t>Cost-plus service cost proxy</t>
        </is>
      </c>
      <c r="I30" s="198" t="n"/>
      <c r="J30" s="198" t="n"/>
      <c r="K30" s="198" t="n"/>
    </row>
    <row r="31" ht="16" customHeight="1" s="239">
      <c r="A31" s="198" t="inlineStr">
        <is>
          <t>Corporate/Admin</t>
        </is>
      </c>
      <c r="B31" s="197" t="n">
        <v>0</v>
      </c>
      <c r="C31" s="197" t="n">
        <v>0</v>
      </c>
      <c r="D31" s="197" t="n">
        <v>0</v>
      </c>
      <c r="E31" s="197" t="n">
        <v>0</v>
      </c>
      <c r="F31" s="140">
        <f>IFERROR(OPEX!B9+OPEX!B13,"")</f>
        <v/>
      </c>
      <c r="G31" s="140">
        <f>IFERROR(SUM(B31:F31),"")</f>
        <v/>
      </c>
      <c r="H31" s="198" t="inlineStr">
        <is>
          <t>Admin/security/misc proxy</t>
        </is>
      </c>
      <c r="I31" s="198" t="n"/>
      <c r="J31" s="198" t="n"/>
      <c r="K31" s="198" t="n"/>
    </row>
    <row r="32" ht="16" customHeight="1" s="239">
      <c r="A32" s="203" t="inlineStr">
        <is>
          <t>Total Allocated OPEX</t>
        </is>
      </c>
      <c r="B32" s="152">
        <f>IFERROR(SUM(B22:B31),"")</f>
        <v/>
      </c>
      <c r="C32" s="152">
        <f>IFERROR(SUM(C22:C31),"")</f>
        <v/>
      </c>
      <c r="D32" s="152">
        <f>IFERROR(SUM(D22:D31),"")</f>
        <v/>
      </c>
      <c r="E32" s="152">
        <f>IFERROR(SUM(E22:E31),"")</f>
        <v/>
      </c>
      <c r="F32" s="152">
        <f>IFERROR(SUM(F22:F31),"")</f>
        <v/>
      </c>
      <c r="G32" s="152">
        <f>IFERROR(SUM(G22:G31),"")</f>
        <v/>
      </c>
      <c r="H32" s="203" t="inlineStr">
        <is>
          <t>Master allocation total</t>
        </is>
      </c>
      <c r="I32" s="203" t="n"/>
      <c r="J32" s="203" t="n"/>
      <c r="K32" s="203" t="n"/>
    </row>
    <row r="34">
      <c r="A34" s="265" t="inlineStr">
        <is>
          <t>Operating Savings</t>
        </is>
      </c>
    </row>
    <row r="35">
      <c r="A35" t="inlineStr">
        <is>
          <t>Utility Savings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</row>
    <row r="36">
      <c r="A36" t="inlineStr">
        <is>
          <t>Diesel Savings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</row>
    <row r="37">
      <c r="A37" t="inlineStr">
        <is>
          <t>Generator Fuel Savings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</row>
    <row r="38">
      <c r="A38" t="inlineStr">
        <is>
          <t>Fertilizer Savings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</row>
    <row r="39">
      <c r="A39" t="inlineStr">
        <is>
          <t>Net Operating Savings</t>
        </is>
      </c>
      <c r="B39">
        <f>SUM(B35:B38)</f>
        <v/>
      </c>
      <c r="C39">
        <f>SUM(C35:C38)</f>
        <v/>
      </c>
      <c r="D39">
        <f>SUM(D35:D38)</f>
        <v/>
      </c>
      <c r="E39">
        <f>SUM(E35:E38)</f>
        <v/>
      </c>
      <c r="F39">
        <f>SUM(F35:F38)</f>
        <v/>
      </c>
      <c r="G39">
        <f>SUM(G35:G38)</f>
        <v/>
      </c>
      <c r="H39">
        <f>SUM(H35:H38)</f>
        <v/>
      </c>
      <c r="I39">
        <f>SUM(I35:I38)</f>
        <v/>
      </c>
      <c r="J39">
        <f>SUM(J35:J38)</f>
        <v/>
      </c>
      <c r="K39">
        <f>SUM(K35:K38)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hyperlinks>
    <hyperlink ref="A4" location="'OPEX_APPENDIX'!A35" display="Feed Supplements"/>
    <hyperlink ref="A5" location="'OPEX_APPENDIX'!A57" display="Vet"/>
    <hyperlink ref="A6" location="'OPEX_APPENDIX'!A73" display="Payroll"/>
    <hyperlink ref="A7" location="'OPEX_APPENDIX'!A95" display="Utilities"/>
    <hyperlink ref="A8" location="'OPEX_APPENDIX'!A95" display="Fuel"/>
    <hyperlink ref="A9" location="'OPEX_APPENDIX'!A100" display="Admin"/>
    <hyperlink ref="A10" location="'OPEX_APPENDIX'!A107" display="Security"/>
    <hyperlink ref="A11" location="'OPEX_APPENDIX'!A103" display="Repairs"/>
    <hyperlink ref="A12" location="'OPEX_APPENDIX'!A4" display="Insurance"/>
    <hyperlink ref="A13" location="'OPEX_APPENDIX'!A4" display="Misc"/>
    <hyperlink ref="A14" location="'OPEX_APPENDIX'!A4" display="Total OPEX"/>
  </hyperlinks>
  <pageMargins left="0.5" right="0.5" top="1" bottom="1" header="0.5" footer="0.5"/>
  <pageSetup orientation="landscape" horizontalDpi="300" verticalDpi="300"/>
  <headerFooter>
    <oddHeader>&amp;L&amp;A&amp;C&amp;"Calibri,Bold" Confidential&amp;RPage &amp;P</oddHeader>
    <oddFooter>&amp;C&amp;F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69"/>
  <sheetViews>
    <sheetView showGridLines="0" topLeftCell="A1" workbookViewId="0">
      <selection activeCell="A1" sqref="A1"/>
    </sheetView>
  </sheetViews>
  <sheetFormatPr baseColWidth="8" defaultRowHeight="15"/>
  <cols>
    <col width="28" customWidth="1" style="239" min="1" max="1"/>
    <col width="18" customWidth="1" style="239" min="2" max="2"/>
    <col width="18" customWidth="1" style="239" min="3" max="3"/>
    <col width="18" customWidth="1" style="239" min="4" max="4"/>
    <col width="18" customWidth="1" style="239" min="5" max="5"/>
    <col width="18" customWidth="1" style="239" min="6" max="6"/>
    <col width="18" customWidth="1" style="239" min="7" max="7"/>
    <col width="18" customWidth="1" style="239" min="8" max="8"/>
    <col width="18" customWidth="1" style="239" min="9" max="9"/>
    <col width="18" customWidth="1" style="239" min="10" max="10"/>
    <col width="18" customWidth="1" style="239" min="11" max="11"/>
    <col width="18" customWidth="1" style="239" min="12" max="12"/>
    <col width="18" customWidth="1" style="239" min="13" max="13"/>
    <col width="18" customWidth="1" style="239" min="14" max="14"/>
    <col width="18" customWidth="1" style="239" min="15" max="15"/>
    <col width="18" customWidth="1" style="239" min="16" max="16"/>
  </cols>
  <sheetData>
    <row r="1">
      <c r="A1" s="396" t="inlineStr">
        <is>
          <t>OPEX Appendix - BOA Version 2</t>
        </is>
      </c>
    </row>
    <row r="2">
      <c r="A2" s="397" t="inlineStr">
        <is>
          <t>OPEX-only support. CAPEX, cover, readme, BOA dashboard, sensitivity and other non-OPEX dumps removed.</t>
        </is>
      </c>
    </row>
    <row r="4">
      <c r="A4" t="inlineStr">
        <is>
          <t>Specific OPEX / Operating Input Cost Register</t>
        </is>
      </c>
    </row>
    <row r="5">
      <c r="A5" s="398" t="inlineStr">
        <is>
          <t>Cost Item</t>
        </is>
      </c>
      <c r="B5" s="398" t="inlineStr">
        <is>
          <t>Unit</t>
        </is>
      </c>
      <c r="C5" s="398" t="inlineStr">
        <is>
          <t>Base Cost</t>
        </is>
      </c>
      <c r="D5" s="398" t="inlineStr">
        <is>
          <t>Applied In</t>
        </is>
      </c>
      <c r="E5" s="398" t="inlineStr">
        <is>
          <t>Specific Basis / Use</t>
        </is>
      </c>
      <c r="F5" s="398" t="inlineStr">
        <is>
          <t>Evidence Status</t>
        </is>
      </c>
    </row>
    <row r="6">
      <c r="A6" t="inlineStr">
        <is>
          <t>Young bull purchase price</t>
        </is>
      </c>
      <c r="B6" t="inlineStr">
        <is>
          <t>NGN/head</t>
        </is>
      </c>
      <c r="C6" t="n">
        <v>500000</v>
      </c>
      <c r="D6" t="inlineStr">
        <is>
          <t>FATTENING</t>
        </is>
      </c>
      <c r="E6" t="inlineStr">
        <is>
          <t>Purchase cost at fattening cycle starts</t>
        </is>
      </c>
      <c r="F6" t="inlineStr">
        <is>
          <t>Supplier quote required</t>
        </is>
      </c>
    </row>
    <row r="7">
      <c r="A7" t="inlineStr">
        <is>
          <t>Bull entry weight</t>
        </is>
      </c>
      <c r="B7" t="inlineStr">
        <is>
          <t>kg/head</t>
        </is>
      </c>
      <c r="C7" t="n">
        <v>180</v>
      </c>
      <c r="D7" t="inlineStr">
        <is>
          <t>FATTENING</t>
        </is>
      </c>
      <c r="E7" t="inlineStr">
        <is>
          <t>Starting weight</t>
        </is>
      </c>
      <c r="F7" t="inlineStr">
        <is>
          <t>Model assumption</t>
        </is>
      </c>
    </row>
    <row r="8">
      <c r="A8" t="inlineStr">
        <is>
          <t>Average daily gain</t>
        </is>
      </c>
      <c r="B8" t="inlineStr">
        <is>
          <t>kg/day</t>
        </is>
      </c>
      <c r="C8" t="n">
        <v>1.425</v>
      </c>
      <c r="D8" t="inlineStr">
        <is>
          <t>FATTENING</t>
        </is>
      </c>
      <c r="E8" t="inlineStr">
        <is>
          <t>Growth assumption</t>
        </is>
      </c>
      <c r="F8" t="inlineStr">
        <is>
          <t>Technical validation required</t>
        </is>
      </c>
    </row>
    <row r="9">
      <c r="A9" t="inlineStr">
        <is>
          <t>Days on feed</t>
        </is>
      </c>
      <c r="B9" t="inlineStr">
        <is>
          <t>days</t>
        </is>
      </c>
      <c r="C9" t="n">
        <v>120</v>
      </c>
      <c r="D9" t="inlineStr">
        <is>
          <t>FATTENING</t>
        </is>
      </c>
      <c r="E9" t="inlineStr">
        <is>
          <t>Cycle length</t>
        </is>
      </c>
      <c r="F9" t="inlineStr">
        <is>
          <t>Model assumption</t>
        </is>
      </c>
    </row>
    <row r="10">
      <c r="A10" t="inlineStr">
        <is>
          <t>Feedlot ration</t>
        </is>
      </c>
      <c r="B10" t="inlineStr">
        <is>
          <t>NGN/head/day</t>
        </is>
      </c>
      <c r="C10" t="n">
        <v>1800</v>
      </c>
      <c r="D10" t="inlineStr">
        <is>
          <t>FATTENING</t>
        </is>
      </c>
      <c r="E10" t="inlineStr">
        <is>
          <t>Daily feed cost</t>
        </is>
      </c>
      <c r="F10" t="inlineStr">
        <is>
          <t>Ration quote required</t>
        </is>
      </c>
    </row>
    <row r="11">
      <c r="A11" t="inlineStr">
        <is>
          <t>Bull veterinary cost</t>
        </is>
      </c>
      <c r="B11" t="inlineStr">
        <is>
          <t>NGN/head/cycle</t>
        </is>
      </c>
      <c r="C11" t="n">
        <v>27500</v>
      </c>
      <c r="D11" t="inlineStr">
        <is>
          <t>FATTENING</t>
        </is>
      </c>
      <c r="E11" t="inlineStr">
        <is>
          <t>Per-head cycle vet cost</t>
        </is>
      </c>
      <c r="F11" t="inlineStr">
        <is>
          <t>Vet budget required</t>
        </is>
      </c>
    </row>
    <row r="12">
      <c r="A12" t="inlineStr">
        <is>
          <t>Bull labour cost</t>
        </is>
      </c>
      <c r="B12" t="inlineStr">
        <is>
          <t>NGN/head/cycle</t>
        </is>
      </c>
      <c r="C12" t="n">
        <v>25000</v>
      </c>
      <c r="D12" t="inlineStr">
        <is>
          <t>FATTENING</t>
        </is>
      </c>
      <c r="E12" t="inlineStr">
        <is>
          <t>Per-head cycle labour allocation</t>
        </is>
      </c>
      <c r="F12" t="inlineStr">
        <is>
          <t>Management estimate</t>
        </is>
      </c>
    </row>
    <row r="13">
      <c r="A13" t="inlineStr">
        <is>
          <t>King Grass seed</t>
        </is>
      </c>
      <c r="B13" t="inlineStr">
        <is>
          <t>NGN/acre</t>
        </is>
      </c>
      <c r="C13" t="n">
        <v>50000</v>
      </c>
      <c r="D13" t="inlineStr">
        <is>
          <t>FEED_FARM</t>
        </is>
      </c>
      <c r="E13" t="inlineStr">
        <is>
          <t>Seed cost per acre</t>
        </is>
      </c>
      <c r="F13" t="inlineStr">
        <is>
          <t>v10 guide</t>
        </is>
      </c>
    </row>
    <row r="14">
      <c r="A14" t="inlineStr">
        <is>
          <t>Alfalfa seed</t>
        </is>
      </c>
      <c r="B14" t="inlineStr">
        <is>
          <t>NGN/acre</t>
        </is>
      </c>
      <c r="C14" t="n">
        <v>120000</v>
      </c>
      <c r="D14" t="inlineStr">
        <is>
          <t>FEED_FARM</t>
        </is>
      </c>
      <c r="E14" t="inlineStr">
        <is>
          <t>Seed cost per acre</t>
        </is>
      </c>
      <c r="F14" t="inlineStr">
        <is>
          <t>v10 guide</t>
        </is>
      </c>
    </row>
    <row r="15">
      <c r="A15" t="inlineStr">
        <is>
          <t>Corn seed</t>
        </is>
      </c>
      <c r="B15" t="inlineStr">
        <is>
          <t>NGN/acre</t>
        </is>
      </c>
      <c r="C15" t="n">
        <v>80000</v>
      </c>
      <c r="D15" t="inlineStr">
        <is>
          <t>FEED_FARM</t>
        </is>
      </c>
      <c r="E15" t="inlineStr">
        <is>
          <t>Seed cost per acre</t>
        </is>
      </c>
      <c r="F15" t="inlineStr">
        <is>
          <t>v10 guide</t>
        </is>
      </c>
    </row>
    <row r="16">
      <c r="A16" t="inlineStr">
        <is>
          <t>Soybean seed</t>
        </is>
      </c>
      <c r="B16" t="inlineStr">
        <is>
          <t>NGN/acre</t>
        </is>
      </c>
      <c r="C16" t="n">
        <v>40000</v>
      </c>
      <c r="D16" t="inlineStr">
        <is>
          <t>FEED_FARM</t>
        </is>
      </c>
      <c r="E16" t="inlineStr">
        <is>
          <t>Seed cost per acre</t>
        </is>
      </c>
      <c r="F16" t="inlineStr">
        <is>
          <t>v10 guide</t>
        </is>
      </c>
    </row>
    <row r="17">
      <c r="A17" t="inlineStr">
        <is>
          <t>Sesame seed</t>
        </is>
      </c>
      <c r="B17" t="inlineStr">
        <is>
          <t>NGN/acre</t>
        </is>
      </c>
      <c r="C17" t="n">
        <v>35000</v>
      </c>
      <c r="D17" t="inlineStr">
        <is>
          <t>FEED_FARM</t>
        </is>
      </c>
      <c r="E17" t="inlineStr">
        <is>
          <t>Seed cost per acre</t>
        </is>
      </c>
      <c r="F17" t="inlineStr">
        <is>
          <t>v10 guide</t>
        </is>
      </c>
    </row>
    <row r="18">
      <c r="A18" t="inlineStr">
        <is>
          <t>Fertilizer</t>
        </is>
      </c>
      <c r="B18" t="inlineStr">
        <is>
          <t>NGN/acre</t>
        </is>
      </c>
      <c r="C18" t="n">
        <v>100000</v>
      </c>
      <c r="D18" t="inlineStr">
        <is>
          <t>FEED_FARM</t>
        </is>
      </c>
      <c r="E18" t="inlineStr">
        <is>
          <t>Specific input cost</t>
        </is>
      </c>
      <c r="F18" t="inlineStr">
        <is>
          <t>v10 guide</t>
        </is>
      </c>
    </row>
    <row r="19">
      <c r="A19" t="inlineStr">
        <is>
          <t>Herbicide</t>
        </is>
      </c>
      <c r="B19" t="inlineStr">
        <is>
          <t>NGN/acre</t>
        </is>
      </c>
      <c r="C19" t="n">
        <v>25000</v>
      </c>
      <c r="D19" t="inlineStr">
        <is>
          <t>FEED_FARM</t>
        </is>
      </c>
      <c r="E19" t="inlineStr">
        <is>
          <t>Specific input cost</t>
        </is>
      </c>
      <c r="F19" t="inlineStr">
        <is>
          <t>v10 guide</t>
        </is>
      </c>
    </row>
    <row r="20">
      <c r="A20" t="inlineStr">
        <is>
          <t>Pesticides</t>
        </is>
      </c>
      <c r="B20" t="inlineStr">
        <is>
          <t>NGN/acre</t>
        </is>
      </c>
      <c r="C20" t="n">
        <v>15000</v>
      </c>
      <c r="D20" t="inlineStr">
        <is>
          <t>FEED_FARM</t>
        </is>
      </c>
      <c r="E20" t="inlineStr">
        <is>
          <t>Specific input cost</t>
        </is>
      </c>
      <c r="F20" t="inlineStr">
        <is>
          <t>v10 guide</t>
        </is>
      </c>
    </row>
    <row r="21">
      <c r="A21" t="inlineStr">
        <is>
          <t>Irrigation</t>
        </is>
      </c>
      <c r="B21" t="inlineStr">
        <is>
          <t>NGN/acre</t>
        </is>
      </c>
      <c r="C21" t="n">
        <v>40000</v>
      </c>
      <c r="D21" t="inlineStr">
        <is>
          <t>FEED_FARM</t>
        </is>
      </c>
      <c r="E21" t="inlineStr">
        <is>
          <t>Specific input cost</t>
        </is>
      </c>
      <c r="F21" t="inlineStr">
        <is>
          <t>v10 guide</t>
        </is>
      </c>
    </row>
    <row r="22">
      <c r="A22" t="inlineStr">
        <is>
          <t>Tractor operations</t>
        </is>
      </c>
      <c r="B22" t="inlineStr">
        <is>
          <t>NGN/acre</t>
        </is>
      </c>
      <c r="C22" t="n">
        <v>60000</v>
      </c>
      <c r="D22" t="inlineStr">
        <is>
          <t>FEED_FARM</t>
        </is>
      </c>
      <c r="E22" t="inlineStr">
        <is>
          <t>Specific input cost</t>
        </is>
      </c>
      <c r="F22" t="inlineStr">
        <is>
          <t>v10 guide</t>
        </is>
      </c>
    </row>
    <row r="99">
      <c r="A99" s="398" t="inlineStr">
        <is>
          <t>Year</t>
        </is>
      </c>
      <c r="B99" s="398" t="inlineStr">
        <is>
          <t>Feed Supplement</t>
        </is>
      </c>
      <c r="C99" s="398" t="inlineStr">
        <is>
          <t>Vet Cost</t>
        </is>
      </c>
      <c r="D99" s="398" t="inlineStr">
        <is>
          <t>Payroll</t>
        </is>
      </c>
      <c r="E99" s="398" t="inlineStr">
        <is>
          <t>Utilities</t>
        </is>
      </c>
      <c r="F99" s="398" t="inlineStr">
        <is>
          <t>Fuel</t>
        </is>
      </c>
      <c r="G99" s="398" t="inlineStr">
        <is>
          <t>Admin</t>
        </is>
      </c>
      <c r="H99" s="398" t="inlineStr">
        <is>
          <t>Security</t>
        </is>
      </c>
      <c r="I99" s="398" t="inlineStr">
        <is>
          <t>Repairs</t>
        </is>
      </c>
      <c r="J99" s="398" t="inlineStr">
        <is>
          <t>Insurance</t>
        </is>
      </c>
      <c r="K99" s="398" t="inlineStr">
        <is>
          <t>Miscellaneous</t>
        </is>
      </c>
      <c r="L99" s="398" t="inlineStr">
        <is>
          <t>Total OPEX</t>
        </is>
      </c>
    </row>
    <row r="100">
      <c r="A100" t="n">
        <v>1</v>
      </c>
      <c r="B100" t="n">
        <v>2304000</v>
      </c>
      <c r="C100" t="n">
        <v>1250000</v>
      </c>
      <c r="D100" t="n">
        <v>7015000</v>
      </c>
      <c r="E100" t="n">
        <v>4320000</v>
      </c>
      <c r="F100" t="n">
        <v>2640000</v>
      </c>
      <c r="G100" t="n">
        <v>120000</v>
      </c>
      <c r="H100" t="n">
        <v>2910000</v>
      </c>
      <c r="I100" t="n">
        <v>100000</v>
      </c>
      <c r="J100" t="n">
        <v>1000000</v>
      </c>
      <c r="K100" t="n">
        <v>1000000</v>
      </c>
      <c r="L100">
        <f>SUM(B100:K100)</f>
        <v/>
      </c>
    </row>
    <row r="101">
      <c r="A101" t="n">
        <v>2</v>
      </c>
      <c r="B101" t="n">
        <v>3456000</v>
      </c>
      <c r="C101" t="n">
        <v>2200000</v>
      </c>
      <c r="D101" t="n">
        <v>10935000</v>
      </c>
      <c r="E101" t="n">
        <v>4536000</v>
      </c>
      <c r="F101" t="n">
        <v>3036000</v>
      </c>
      <c r="G101" t="n">
        <v>126000</v>
      </c>
      <c r="H101" t="n">
        <v>3055500</v>
      </c>
      <c r="I101" t="n">
        <v>2337500</v>
      </c>
      <c r="J101" t="n">
        <v>1009500</v>
      </c>
      <c r="K101" t="n">
        <v>1009500</v>
      </c>
      <c r="L101">
        <f>SUM(B101:K101)</f>
        <v/>
      </c>
    </row>
    <row r="102">
      <c r="A102" t="n">
        <v>3</v>
      </c>
      <c r="B102" t="n">
        <v>4706000</v>
      </c>
      <c r="C102" t="n">
        <v>2750000</v>
      </c>
      <c r="D102" t="n">
        <v>12575250</v>
      </c>
      <c r="E102" t="n">
        <v>4989600</v>
      </c>
      <c r="F102" t="n">
        <v>3339600</v>
      </c>
      <c r="G102" t="n">
        <v>138600</v>
      </c>
      <c r="H102" t="n">
        <v>3361050</v>
      </c>
      <c r="I102" t="n">
        <v>2358750</v>
      </c>
      <c r="J102" t="n">
        <v>1019090.25</v>
      </c>
      <c r="K102" t="n">
        <v>1019090.25</v>
      </c>
      <c r="L102">
        <f>SUM(B102:K102)</f>
        <v/>
      </c>
    </row>
    <row r="103">
      <c r="A103" t="n">
        <v>4</v>
      </c>
      <c r="B103" t="n">
        <v>5956000</v>
      </c>
      <c r="C103" t="n">
        <v>3687500</v>
      </c>
      <c r="D103" t="n">
        <v>13864213.12</v>
      </c>
      <c r="E103" t="n">
        <v>6237000</v>
      </c>
      <c r="F103" t="n">
        <v>3423090</v>
      </c>
      <c r="G103" t="n">
        <v>142065</v>
      </c>
      <c r="H103" t="n">
        <v>3445076.25</v>
      </c>
      <c r="I103" t="n">
        <v>2550000</v>
      </c>
      <c r="J103" t="n">
        <v>1028771.61</v>
      </c>
      <c r="K103" t="n">
        <v>1028771.61</v>
      </c>
      <c r="L103">
        <f>SUM(B103:K103)</f>
        <v/>
      </c>
    </row>
    <row r="104">
      <c r="A104" t="n">
        <v>5</v>
      </c>
      <c r="B104" t="n">
        <v>7456000</v>
      </c>
      <c r="C104" t="n">
        <v>4875000</v>
      </c>
      <c r="D104" t="n">
        <v>15285294.97</v>
      </c>
      <c r="E104" t="n">
        <v>7796250</v>
      </c>
      <c r="F104" t="n">
        <v>3508667.25</v>
      </c>
      <c r="G104" t="n">
        <v>145616.62</v>
      </c>
      <c r="H104" t="n">
        <v>3531203.16</v>
      </c>
      <c r="I104" t="n">
        <v>4037500</v>
      </c>
      <c r="J104" t="n">
        <v>1038544.94</v>
      </c>
      <c r="K104" t="n">
        <v>1038544.94</v>
      </c>
      <c r="L104">
        <f>SUM(B104:K104)</f>
        <v/>
      </c>
    </row>
    <row r="105">
      <c r="A105" t="n">
        <v>6</v>
      </c>
      <c r="B105" t="n">
        <v>8956000</v>
      </c>
      <c r="C105" t="n">
        <v>7595312.5</v>
      </c>
      <c r="D105" t="n">
        <v>17043103.89</v>
      </c>
      <c r="E105" t="n">
        <v>7991156.25</v>
      </c>
      <c r="F105" t="n">
        <v>3596383.93</v>
      </c>
      <c r="G105" t="n">
        <v>149257.04</v>
      </c>
      <c r="H105" t="n">
        <v>3619483.24</v>
      </c>
      <c r="I105" t="n">
        <v>2125000</v>
      </c>
      <c r="J105" t="n">
        <v>1048411.11</v>
      </c>
      <c r="K105" t="n">
        <v>1048411.11</v>
      </c>
      <c r="L105">
        <f>SUM(B105:K105)</f>
        <v/>
      </c>
    </row>
    <row r="106">
      <c r="A106" t="n">
        <v>7</v>
      </c>
      <c r="B106" t="n">
        <v>10456000</v>
      </c>
      <c r="C106" t="n">
        <v>9390585.939999999</v>
      </c>
      <c r="D106" t="n">
        <v>17469181.49</v>
      </c>
      <c r="E106" t="n">
        <v>8190935.16</v>
      </c>
      <c r="F106" t="n">
        <v>3686293.53</v>
      </c>
      <c r="G106" t="n">
        <v>152988.47</v>
      </c>
      <c r="H106" t="n">
        <v>3709970.32</v>
      </c>
      <c r="I106" t="n">
        <v>2337500</v>
      </c>
      <c r="J106" t="n">
        <v>1058371.02</v>
      </c>
      <c r="K106" t="n">
        <v>1058371.02</v>
      </c>
      <c r="L106">
        <f>SUM(B106:K106)</f>
        <v/>
      </c>
    </row>
    <row r="107">
      <c r="A107" t="n">
        <v>8</v>
      </c>
      <c r="B107" t="n">
        <v>10456000</v>
      </c>
      <c r="C107" t="n">
        <v>9382364.26</v>
      </c>
      <c r="D107" t="n">
        <v>17905911.03</v>
      </c>
      <c r="E107" t="n">
        <v>8395708.539999999</v>
      </c>
      <c r="F107" t="n">
        <v>3778450.87</v>
      </c>
      <c r="G107" t="n">
        <v>156813.18</v>
      </c>
      <c r="H107" t="n">
        <v>3802719.57</v>
      </c>
      <c r="I107" t="n">
        <v>2358750</v>
      </c>
      <c r="J107" t="n">
        <v>1068425.54</v>
      </c>
      <c r="K107" t="n">
        <v>1068425.54</v>
      </c>
      <c r="L107">
        <f>SUM(B107:K107)</f>
        <v/>
      </c>
    </row>
    <row r="108">
      <c r="A108" t="n">
        <v>9</v>
      </c>
      <c r="B108" t="n">
        <v>10456000</v>
      </c>
      <c r="C108" t="n">
        <v>9374142.58</v>
      </c>
      <c r="D108" t="n">
        <v>18353558.8</v>
      </c>
      <c r="E108" t="n">
        <v>8605601.25</v>
      </c>
      <c r="F108" t="n">
        <v>3872912.14</v>
      </c>
      <c r="G108" t="n">
        <v>160733.51</v>
      </c>
      <c r="H108" t="n">
        <v>3897787.56</v>
      </c>
      <c r="I108" t="n">
        <v>4143750</v>
      </c>
      <c r="J108" t="n">
        <v>1078575.59</v>
      </c>
      <c r="K108" t="n">
        <v>1078575.59</v>
      </c>
      <c r="L108">
        <f>SUM(B108:K108)</f>
        <v/>
      </c>
    </row>
    <row r="109">
      <c r="A109" t="n">
        <v>10</v>
      </c>
      <c r="B109" t="n">
        <v>10456000</v>
      </c>
      <c r="C109" t="n">
        <v>9377640.6</v>
      </c>
      <c r="D109" t="n">
        <v>18812397.77</v>
      </c>
      <c r="E109" t="n">
        <v>8820741.279999999</v>
      </c>
      <c r="F109" t="n">
        <v>3969734.94</v>
      </c>
      <c r="G109" t="n">
        <v>164751.85</v>
      </c>
      <c r="H109" t="n">
        <v>3995232.25</v>
      </c>
      <c r="I109" t="n">
        <v>2337500</v>
      </c>
      <c r="J109" t="n">
        <v>1088822.06</v>
      </c>
      <c r="K109" t="n">
        <v>1088822.06</v>
      </c>
      <c r="L109">
        <f>SUM(B109:K109)</f>
        <v/>
      </c>
    </row>
    <row r="111">
      <c r="A111" t="inlineStr">
        <is>
          <t>Detailed OPEX Support</t>
        </is>
      </c>
    </row>
    <row r="112">
      <c r="A112" t="inlineStr">
        <is>
          <t>Year 1</t>
        </is>
      </c>
    </row>
    <row r="113">
      <c r="A113" t="inlineStr">
        <is>
          <t>Feed Supplement Yr1</t>
        </is>
      </c>
      <c r="B113" t="inlineStr">
        <is>
          <t>Rate</t>
        </is>
      </c>
      <c r="C113" t="inlineStr">
        <is>
          <t>Number</t>
        </is>
      </c>
      <c r="D113" t="inlineStr">
        <is>
          <t>Month 1</t>
        </is>
      </c>
      <c r="E113" t="inlineStr">
        <is>
          <t>Month 2</t>
        </is>
      </c>
      <c r="F113" t="inlineStr">
        <is>
          <t>Month 3</t>
        </is>
      </c>
      <c r="G113" t="inlineStr">
        <is>
          <t>Month 4</t>
        </is>
      </c>
      <c r="H113" t="inlineStr">
        <is>
          <t>Month 5</t>
        </is>
      </c>
      <c r="I113" t="inlineStr">
        <is>
          <t>Month 6</t>
        </is>
      </c>
      <c r="J113" t="inlineStr">
        <is>
          <t>Month 7</t>
        </is>
      </c>
      <c r="K113" t="inlineStr">
        <is>
          <t>Month 8</t>
        </is>
      </c>
      <c r="L113" t="inlineStr">
        <is>
          <t>Month 9</t>
        </is>
      </c>
      <c r="M113" t="inlineStr">
        <is>
          <t>Month 10</t>
        </is>
      </c>
      <c r="N113" t="inlineStr">
        <is>
          <t>Month 11</t>
        </is>
      </c>
      <c r="O113" t="inlineStr">
        <is>
          <t>Month 12</t>
        </is>
      </c>
      <c r="P113" t="inlineStr">
        <is>
          <t>Total</t>
        </is>
      </c>
    </row>
    <row r="114">
      <c r="A114" t="inlineStr">
        <is>
          <t>supplement</t>
        </is>
      </c>
      <c r="B114" t="n">
        <v>5000</v>
      </c>
      <c r="C114" t="n">
        <v>80</v>
      </c>
      <c r="I114">
        <f>IFERROR(C19*B19,"")</f>
        <v/>
      </c>
      <c r="J114">
        <f>IFERROR(I19,"")</f>
        <v/>
      </c>
      <c r="K114">
        <f>IFERROR(J19,"")</f>
        <v/>
      </c>
      <c r="L114">
        <f>IFERROR(K19,"")</f>
        <v/>
      </c>
      <c r="M114">
        <f>IFERROR(L19,"")</f>
        <v/>
      </c>
      <c r="N114">
        <f>IFERROR(M19,"")</f>
        <v/>
      </c>
      <c r="O114">
        <f>IFERROR(N19,"")</f>
        <v/>
      </c>
      <c r="P114">
        <f>IFERROR(SUM(D19:O19),"")</f>
        <v/>
      </c>
    </row>
    <row r="115">
      <c r="A115" t="inlineStr">
        <is>
          <t>total</t>
        </is>
      </c>
      <c r="D115" t="n">
        <v>0</v>
      </c>
      <c r="E115" t="n">
        <v>0</v>
      </c>
      <c r="F115" t="n">
        <v>0</v>
      </c>
      <c r="H115" t="n">
        <v>0</v>
      </c>
      <c r="I115">
        <f>IFERROR(SUM(I19:I19),"")</f>
        <v/>
      </c>
      <c r="J115">
        <f>IFERROR(SUM(J19:J19),"")</f>
        <v/>
      </c>
      <c r="K115">
        <f>IFERROR(SUM(K19:K19),"")</f>
        <v/>
      </c>
      <c r="L115">
        <f>IFERROR(SUM(L19:L19),"")</f>
        <v/>
      </c>
      <c r="M115">
        <f>IFERROR(SUM(M19:M19),"")</f>
        <v/>
      </c>
      <c r="N115">
        <f>IFERROR(SUM(N19:N19),"")</f>
        <v/>
      </c>
      <c r="O115">
        <f>IFERROR(SUM(O19:O19),"")</f>
        <v/>
      </c>
      <c r="P115">
        <f>IFERROR(SUM(D20:O20),"")</f>
        <v/>
      </c>
    </row>
    <row r="116">
      <c r="B116" t="inlineStr">
        <is>
          <t>FeedPerMilkingCow</t>
        </is>
      </c>
      <c r="C116">
        <f>IFERROR(P20/80,"")</f>
        <v/>
      </c>
    </row>
    <row r="117">
      <c r="A117" t="inlineStr">
        <is>
          <t>Year 2</t>
        </is>
      </c>
    </row>
    <row r="118">
      <c r="A118" t="inlineStr">
        <is>
          <t>Feed Supplement Yr2</t>
        </is>
      </c>
      <c r="B118" t="inlineStr">
        <is>
          <t>Rate</t>
        </is>
      </c>
      <c r="C118" t="inlineStr">
        <is>
          <t>Number</t>
        </is>
      </c>
      <c r="D118" t="inlineStr">
        <is>
          <t>Month 1</t>
        </is>
      </c>
      <c r="E118" t="inlineStr">
        <is>
          <t>Month 2</t>
        </is>
      </c>
      <c r="F118" t="inlineStr">
        <is>
          <t>Month 3</t>
        </is>
      </c>
      <c r="G118" t="inlineStr">
        <is>
          <t>Month 4</t>
        </is>
      </c>
      <c r="H118" t="inlineStr">
        <is>
          <t>Month 5</t>
        </is>
      </c>
      <c r="I118" t="inlineStr">
        <is>
          <t>Month 6</t>
        </is>
      </c>
      <c r="J118" t="inlineStr">
        <is>
          <t>Month 7</t>
        </is>
      </c>
      <c r="K118" t="inlineStr">
        <is>
          <t>Month 8</t>
        </is>
      </c>
      <c r="L118" t="inlineStr">
        <is>
          <t>Month 9</t>
        </is>
      </c>
      <c r="M118" t="inlineStr">
        <is>
          <t>Month 10</t>
        </is>
      </c>
      <c r="N118" t="inlineStr">
        <is>
          <t>Month 11</t>
        </is>
      </c>
      <c r="O118" t="inlineStr">
        <is>
          <t>Month 12</t>
        </is>
      </c>
      <c r="P118" t="inlineStr">
        <is>
          <t>Total</t>
        </is>
      </c>
    </row>
    <row r="119">
      <c r="A119" t="inlineStr">
        <is>
          <t>supplement</t>
        </is>
      </c>
      <c r="B119">
        <f>IFERROR(B19*1.15,"")</f>
        <v/>
      </c>
      <c r="C119" t="n">
        <v>80</v>
      </c>
      <c r="D119">
        <f>IFERROR(C24*B24,"")</f>
        <v/>
      </c>
      <c r="E119">
        <f>IFERROR(D24,"")</f>
        <v/>
      </c>
      <c r="F119">
        <f>IFERROR(E24,"")</f>
        <v/>
      </c>
      <c r="G119">
        <f>IFERROR(F24,"")</f>
        <v/>
      </c>
      <c r="H119">
        <f>IFERROR(G24,"")</f>
        <v/>
      </c>
      <c r="I119">
        <f>IFERROR(H24,"")</f>
        <v/>
      </c>
      <c r="J119">
        <f>IFERROR(I24*1.25,"")</f>
        <v/>
      </c>
      <c r="K119">
        <f>IFERROR(J24,"")</f>
        <v/>
      </c>
      <c r="L119">
        <f>IFERROR(K24,"")</f>
        <v/>
      </c>
      <c r="M119">
        <f>IFERROR(L24,"")</f>
        <v/>
      </c>
      <c r="N119">
        <f>IFERROR(M24,"")</f>
        <v/>
      </c>
      <c r="O119">
        <f>IFERROR(N24,"")</f>
        <v/>
      </c>
      <c r="P119">
        <f>IFERROR(SUM(D24:O24),"")</f>
        <v/>
      </c>
    </row>
    <row r="120">
      <c r="D120">
        <f>IFERROR(SUM(D24:D24),"")</f>
        <v/>
      </c>
      <c r="E120">
        <f>IFERROR(SUM(E24:E24),"")</f>
        <v/>
      </c>
      <c r="F120">
        <f>IFERROR(SUM(F24:F24),"")</f>
        <v/>
      </c>
      <c r="G120">
        <f>IFERROR(SUM(G24:G24),"")</f>
        <v/>
      </c>
      <c r="H120">
        <f>IFERROR(SUM(H24:H24),"")</f>
        <v/>
      </c>
      <c r="I120">
        <f>IFERROR(SUM(I24:I24),"")</f>
        <v/>
      </c>
      <c r="J120">
        <f>IFERROR(SUM(J24:J24),"")</f>
        <v/>
      </c>
      <c r="K120">
        <f>IFERROR(SUM(K24:K24),"")</f>
        <v/>
      </c>
      <c r="L120">
        <f>IFERROR(SUM(L24:L24),"")</f>
        <v/>
      </c>
      <c r="M120">
        <f>IFERROR(SUM(M24:M24),"")</f>
        <v/>
      </c>
      <c r="N120">
        <f>IFERROR(SUM(N24:N24),"")</f>
        <v/>
      </c>
      <c r="O120">
        <f>IFERROR(SUM(O24:O24),"")</f>
        <v/>
      </c>
      <c r="P120">
        <f>IFERROR(SUM(D25:O25),"")</f>
        <v/>
      </c>
    </row>
    <row r="121">
      <c r="B121" t="inlineStr">
        <is>
          <t>FeedPerMilkingCow</t>
        </is>
      </c>
      <c r="C121">
        <f>IFERROR(P25/100,"")</f>
        <v/>
      </c>
    </row>
    <row r="122">
      <c r="A122" t="inlineStr">
        <is>
          <t>year 1</t>
        </is>
      </c>
    </row>
    <row r="123">
      <c r="A123" t="inlineStr">
        <is>
          <t>VetCost</t>
        </is>
      </c>
      <c r="B123" t="inlineStr">
        <is>
          <t>Rate</t>
        </is>
      </c>
      <c r="C123" t="inlineStr">
        <is>
          <t>Number</t>
        </is>
      </c>
      <c r="D123" t="inlineStr">
        <is>
          <t>Month 1</t>
        </is>
      </c>
      <c r="E123" t="inlineStr">
        <is>
          <t>Month 2</t>
        </is>
      </c>
      <c r="F123" t="inlineStr">
        <is>
          <t>Month 3</t>
        </is>
      </c>
      <c r="G123" t="inlineStr">
        <is>
          <t>Month 4</t>
        </is>
      </c>
      <c r="H123" t="inlineStr">
        <is>
          <t>Month 5</t>
        </is>
      </c>
      <c r="I123" t="inlineStr">
        <is>
          <t>Month 6</t>
        </is>
      </c>
      <c r="J123" t="inlineStr">
        <is>
          <t>Month 7</t>
        </is>
      </c>
      <c r="K123" t="inlineStr">
        <is>
          <t>Month 8</t>
        </is>
      </c>
      <c r="L123" t="inlineStr">
        <is>
          <t>Month 9</t>
        </is>
      </c>
      <c r="M123" t="inlineStr">
        <is>
          <t>Month 10</t>
        </is>
      </c>
      <c r="N123" t="inlineStr">
        <is>
          <t>Month 11</t>
        </is>
      </c>
      <c r="O123" t="inlineStr">
        <is>
          <t>Month 12</t>
        </is>
      </c>
      <c r="P123" t="inlineStr">
        <is>
          <t>Total</t>
        </is>
      </c>
    </row>
    <row r="124">
      <c r="A124" t="inlineStr">
        <is>
          <t xml:space="preserve">Vet 1 </t>
        </is>
      </c>
      <c r="B124" t="n">
        <v>100000</v>
      </c>
      <c r="C124" t="n">
        <v>1</v>
      </c>
      <c r="I124" t="n">
        <v>100000</v>
      </c>
      <c r="J124" t="n">
        <v>100000</v>
      </c>
      <c r="K124" t="n">
        <v>100000</v>
      </c>
      <c r="L124" t="n">
        <v>100000</v>
      </c>
      <c r="M124" t="n">
        <v>100000</v>
      </c>
      <c r="N124" t="n">
        <v>100000</v>
      </c>
      <c r="O124" t="n">
        <v>100000</v>
      </c>
      <c r="P124">
        <f>IFERROR(SUM(I30:O30),"")</f>
        <v/>
      </c>
    </row>
    <row r="125">
      <c r="A125" t="inlineStr">
        <is>
          <t>Vet 2</t>
        </is>
      </c>
      <c r="B125" t="n">
        <v>75000</v>
      </c>
      <c r="C125" t="n">
        <v>1</v>
      </c>
      <c r="J125" t="n">
        <v>75000</v>
      </c>
      <c r="K125" t="n">
        <v>75000</v>
      </c>
      <c r="L125" t="n">
        <v>75000</v>
      </c>
      <c r="M125" t="n">
        <v>75000</v>
      </c>
      <c r="N125" t="n">
        <v>75000</v>
      </c>
      <c r="O125" t="n">
        <v>75000</v>
      </c>
      <c r="P125">
        <f>IFERROR(SUM(I31:O31),"")</f>
        <v/>
      </c>
    </row>
    <row r="126">
      <c r="A126" t="inlineStr">
        <is>
          <t>Medics et al</t>
        </is>
      </c>
      <c r="O126" t="n">
        <v>100000</v>
      </c>
      <c r="P126">
        <f>IFERROR(SUM(I32:O32),"")</f>
        <v/>
      </c>
    </row>
    <row r="127"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>
        <f>IFERROR(SUM(I30:I32),"")</f>
        <v/>
      </c>
      <c r="J127">
        <f>IFERROR(SUM(J30:J32),"")</f>
        <v/>
      </c>
      <c r="K127">
        <f>IFERROR(SUM(K30:K32),"")</f>
        <v/>
      </c>
      <c r="L127">
        <f>IFERROR(SUM(L30:L32),"")</f>
        <v/>
      </c>
      <c r="M127">
        <f>IFERROR(SUM(M30:M32),"")</f>
        <v/>
      </c>
      <c r="N127">
        <f>IFERROR(SUM(N30:N32),"")</f>
        <v/>
      </c>
      <c r="O127">
        <f>IFERROR(SUM(O30:O32),"")</f>
        <v/>
      </c>
      <c r="P127">
        <f>IFERROR(SUM(I33:O33),"")</f>
        <v/>
      </c>
    </row>
    <row r="128">
      <c r="B128" t="inlineStr">
        <is>
          <t>VetPerCow</t>
        </is>
      </c>
      <c r="C128">
        <f>IFERROR(P33/80,"")</f>
        <v/>
      </c>
    </row>
    <row r="129">
      <c r="A129" t="inlineStr">
        <is>
          <t>year 2</t>
        </is>
      </c>
    </row>
    <row r="130">
      <c r="A130" t="inlineStr">
        <is>
          <t>VetCost</t>
        </is>
      </c>
      <c r="B130" t="inlineStr">
        <is>
          <t>Rate</t>
        </is>
      </c>
      <c r="C130" t="inlineStr">
        <is>
          <t>Number</t>
        </is>
      </c>
      <c r="D130" t="inlineStr">
        <is>
          <t>Month 1</t>
        </is>
      </c>
      <c r="E130" t="inlineStr">
        <is>
          <t>Month 2</t>
        </is>
      </c>
      <c r="F130" t="inlineStr">
        <is>
          <t>Month 3</t>
        </is>
      </c>
      <c r="G130" t="inlineStr">
        <is>
          <t>Month 4</t>
        </is>
      </c>
      <c r="H130" t="inlineStr">
        <is>
          <t>Month 5</t>
        </is>
      </c>
      <c r="I130" t="inlineStr">
        <is>
          <t>Month 6</t>
        </is>
      </c>
      <c r="J130" t="inlineStr">
        <is>
          <t>Month 7</t>
        </is>
      </c>
      <c r="K130" t="inlineStr">
        <is>
          <t>Month 8</t>
        </is>
      </c>
      <c r="L130" t="inlineStr">
        <is>
          <t>Month 9</t>
        </is>
      </c>
      <c r="M130" t="inlineStr">
        <is>
          <t>Month 10</t>
        </is>
      </c>
      <c r="N130" t="inlineStr">
        <is>
          <t>Month 11</t>
        </is>
      </c>
      <c r="O130" t="inlineStr">
        <is>
          <t>Month 12</t>
        </is>
      </c>
      <c r="P130" t="inlineStr">
        <is>
          <t>Total</t>
        </is>
      </c>
    </row>
    <row r="131">
      <c r="A131" t="inlineStr">
        <is>
          <t xml:space="preserve">Vet 1 </t>
        </is>
      </c>
      <c r="B131">
        <f>IFERROR(B30*1.15,"")</f>
        <v/>
      </c>
      <c r="C131" t="n">
        <v>1</v>
      </c>
      <c r="D131" t="n">
        <v>100000</v>
      </c>
      <c r="E131" t="n">
        <v>100000</v>
      </c>
      <c r="F131" t="n">
        <v>100000</v>
      </c>
      <c r="G131" t="n">
        <v>100000</v>
      </c>
      <c r="H131" t="n">
        <v>100000</v>
      </c>
      <c r="I131" t="n">
        <v>100000</v>
      </c>
      <c r="J131" t="n">
        <v>100000</v>
      </c>
      <c r="K131" t="n">
        <v>100000</v>
      </c>
      <c r="L131" t="n">
        <v>100000</v>
      </c>
      <c r="M131" t="n">
        <v>100000</v>
      </c>
      <c r="N131" t="n">
        <v>100000</v>
      </c>
      <c r="O131" t="n">
        <v>100000</v>
      </c>
      <c r="P131">
        <f>IFERROR(SUM(D37:O37),"")</f>
        <v/>
      </c>
    </row>
    <row r="132">
      <c r="A132" t="inlineStr">
        <is>
          <t>Vet 2</t>
        </is>
      </c>
      <c r="B132" t="n">
        <v>75000</v>
      </c>
      <c r="C132" t="n">
        <v>1</v>
      </c>
      <c r="D132" t="n">
        <v>75000</v>
      </c>
      <c r="E132" t="n">
        <v>75000</v>
      </c>
      <c r="F132" t="n">
        <v>75000</v>
      </c>
      <c r="G132" t="n">
        <v>75000</v>
      </c>
      <c r="H132" t="n">
        <v>75000</v>
      </c>
      <c r="I132" t="n">
        <v>75000</v>
      </c>
      <c r="J132" t="n">
        <v>75000</v>
      </c>
      <c r="K132" t="n">
        <v>75000</v>
      </c>
      <c r="L132" t="n">
        <v>75000</v>
      </c>
      <c r="M132" t="n">
        <v>75000</v>
      </c>
      <c r="N132" t="n">
        <v>75000</v>
      </c>
      <c r="O132" t="n">
        <v>75000</v>
      </c>
      <c r="P132">
        <f>IFERROR(SUM(D38:O38),"")</f>
        <v/>
      </c>
    </row>
    <row r="133">
      <c r="A133" t="inlineStr">
        <is>
          <t>Medics et al</t>
        </is>
      </c>
      <c r="I133" t="n">
        <v>100000</v>
      </c>
      <c r="O133" t="n">
        <v>100000</v>
      </c>
      <c r="P133">
        <f>IFERROR(SUM(D39:O39),"")</f>
        <v/>
      </c>
    </row>
    <row r="134">
      <c r="D134">
        <f>IFERROR(SUM(D37:D39),"")</f>
        <v/>
      </c>
      <c r="E134">
        <f>IFERROR(SUM(E37:E39),"")</f>
        <v/>
      </c>
      <c r="F134">
        <f>IFERROR(SUM(F37:F39),"")</f>
        <v/>
      </c>
      <c r="G134">
        <f>IFERROR(SUM(G37:G39),"")</f>
        <v/>
      </c>
      <c r="H134">
        <f>IFERROR(SUM(H37:H39),"")</f>
        <v/>
      </c>
      <c r="I134">
        <f>IFERROR(SUM(I37:I39),"")</f>
        <v/>
      </c>
      <c r="J134">
        <f>IFERROR(SUM(J37:J39),"")</f>
        <v/>
      </c>
      <c r="K134">
        <f>IFERROR(SUM(K37:K39),"")</f>
        <v/>
      </c>
      <c r="L134">
        <f>IFERROR(SUM(L37:L39),"")</f>
        <v/>
      </c>
      <c r="M134">
        <f>IFERROR(SUM(M37:M39),"")</f>
        <v/>
      </c>
      <c r="N134">
        <f>IFERROR(SUM(N37:N39),"")</f>
        <v/>
      </c>
      <c r="O134">
        <f>IFERROR(SUM(O37:O39),"")</f>
        <v/>
      </c>
      <c r="P134">
        <f>IFERROR(SUM(D40:O40),"")</f>
        <v/>
      </c>
    </row>
    <row r="135">
      <c r="B135" t="inlineStr">
        <is>
          <t>VetPerCow</t>
        </is>
      </c>
      <c r="C135">
        <f>IFERROR(P40/100,"")</f>
        <v/>
      </c>
    </row>
    <row r="136">
      <c r="A136" t="inlineStr">
        <is>
          <t>year 1</t>
        </is>
      </c>
    </row>
    <row r="137">
      <c r="A137" t="inlineStr">
        <is>
          <t>Payroll</t>
        </is>
      </c>
      <c r="B137" t="inlineStr">
        <is>
          <t>Rate</t>
        </is>
      </c>
      <c r="C137" t="inlineStr">
        <is>
          <t>Number</t>
        </is>
      </c>
      <c r="D137" t="inlineStr">
        <is>
          <t>Month 1</t>
        </is>
      </c>
      <c r="E137" t="inlineStr">
        <is>
          <t>Month 2</t>
        </is>
      </c>
      <c r="F137" t="inlineStr">
        <is>
          <t>Month 3</t>
        </is>
      </c>
      <c r="G137" t="inlineStr">
        <is>
          <t>Month 4</t>
        </is>
      </c>
      <c r="H137" t="inlineStr">
        <is>
          <t>Month 5</t>
        </is>
      </c>
      <c r="I137" t="inlineStr">
        <is>
          <t>Month 6</t>
        </is>
      </c>
      <c r="J137" t="inlineStr">
        <is>
          <t>Month 7</t>
        </is>
      </c>
      <c r="K137" t="inlineStr">
        <is>
          <t>Month 8</t>
        </is>
      </c>
      <c r="L137" t="inlineStr">
        <is>
          <t>Month 9</t>
        </is>
      </c>
      <c r="M137" t="inlineStr">
        <is>
          <t>Month 10</t>
        </is>
      </c>
      <c r="N137" t="inlineStr">
        <is>
          <t>Month 11</t>
        </is>
      </c>
      <c r="O137" t="inlineStr">
        <is>
          <t>Month 12</t>
        </is>
      </c>
      <c r="P137" t="inlineStr">
        <is>
          <t>Total</t>
        </is>
      </c>
    </row>
    <row r="138">
      <c r="A138" t="inlineStr">
        <is>
          <t>Manager</t>
        </is>
      </c>
      <c r="B138" t="n">
        <v>120000</v>
      </c>
      <c r="C138" t="n">
        <v>1</v>
      </c>
      <c r="E138" t="n">
        <v>120000</v>
      </c>
      <c r="F138" t="n">
        <v>120000</v>
      </c>
      <c r="G138" t="n">
        <v>120000</v>
      </c>
      <c r="H138" t="n">
        <v>120000</v>
      </c>
      <c r="I138" t="n">
        <v>120000</v>
      </c>
      <c r="J138" t="n">
        <v>120000</v>
      </c>
      <c r="K138" t="n">
        <v>120000</v>
      </c>
      <c r="L138" t="n">
        <v>120000</v>
      </c>
      <c r="M138" t="n">
        <v>120000</v>
      </c>
      <c r="N138" t="n">
        <v>120000</v>
      </c>
      <c r="O138" t="n">
        <v>120000</v>
      </c>
      <c r="P138">
        <f>IFERROR(SUM(D44:O44),"")</f>
        <v/>
      </c>
    </row>
    <row r="139">
      <c r="A139" t="inlineStr">
        <is>
          <t>AdminAcct</t>
        </is>
      </c>
      <c r="B139" t="n">
        <v>100000</v>
      </c>
      <c r="C139" t="n">
        <v>1</v>
      </c>
      <c r="J139" t="n">
        <v>100000</v>
      </c>
      <c r="K139" t="n">
        <v>100000</v>
      </c>
      <c r="L139" t="n">
        <v>100000</v>
      </c>
      <c r="M139" t="n">
        <v>100000</v>
      </c>
      <c r="N139" t="n">
        <v>100000</v>
      </c>
      <c r="O139" t="n">
        <v>100000</v>
      </c>
      <c r="P139">
        <f>IFERROR(SUM(D45:O45),"")</f>
        <v/>
      </c>
    </row>
    <row r="140">
      <c r="A140" t="inlineStr">
        <is>
          <t>Driver 1 Tractor</t>
        </is>
      </c>
      <c r="B140" t="n">
        <v>75000</v>
      </c>
      <c r="C140" t="n">
        <v>1</v>
      </c>
      <c r="E140" t="n">
        <v>75000</v>
      </c>
      <c r="F140" t="n">
        <v>75000</v>
      </c>
      <c r="G140" t="n">
        <v>75000</v>
      </c>
      <c r="H140" t="n">
        <v>75000</v>
      </c>
      <c r="I140" t="n">
        <v>75000</v>
      </c>
      <c r="J140" t="n">
        <v>75000</v>
      </c>
      <c r="K140" t="n">
        <v>75000</v>
      </c>
      <c r="L140" t="n">
        <v>75000</v>
      </c>
      <c r="M140" t="n">
        <v>75000</v>
      </c>
      <c r="N140" t="n">
        <v>75000</v>
      </c>
      <c r="O140" t="n">
        <v>75000</v>
      </c>
      <c r="P140">
        <f>IFERROR(SUM(D46:O46),"")</f>
        <v/>
      </c>
    </row>
    <row r="141">
      <c r="A141" t="inlineStr">
        <is>
          <t xml:space="preserve">Driver 2 Truck </t>
        </is>
      </c>
      <c r="B141" t="n">
        <v>75000</v>
      </c>
      <c r="C141" t="n">
        <v>1</v>
      </c>
      <c r="P141">
        <f>IFERROR(SUM(D47:O47),"")</f>
        <v/>
      </c>
    </row>
    <row r="142">
      <c r="A142" t="inlineStr">
        <is>
          <t>Cow Boys</t>
        </is>
      </c>
      <c r="B142" t="n">
        <v>70000</v>
      </c>
      <c r="C142" t="n">
        <v>3</v>
      </c>
      <c r="H142" t="n">
        <v>0</v>
      </c>
      <c r="I142">
        <f>IFERROR(B48*2,"")</f>
        <v/>
      </c>
      <c r="J142">
        <f>IFERROR(I48,"")</f>
        <v/>
      </c>
      <c r="K142">
        <f>IFERROR(J48,"")</f>
        <v/>
      </c>
      <c r="L142">
        <f>IFERROR(K48,"")</f>
        <v/>
      </c>
      <c r="M142">
        <f>IFERROR(B48*C48,"")</f>
        <v/>
      </c>
      <c r="N142">
        <f>IFERROR(M48,"")</f>
        <v/>
      </c>
      <c r="O142">
        <f>IFERROR(N48,"")</f>
        <v/>
      </c>
      <c r="P142">
        <f>IFERROR(SUM(D48:O48),"")</f>
        <v/>
      </c>
    </row>
    <row r="143">
      <c r="A143" t="inlineStr">
        <is>
          <t>Farm Hands</t>
        </is>
      </c>
      <c r="B143" t="n">
        <v>70000</v>
      </c>
      <c r="C143" t="n">
        <v>4</v>
      </c>
      <c r="E143" t="n">
        <v>280000</v>
      </c>
      <c r="F143" t="n">
        <v>280000</v>
      </c>
      <c r="G143" t="n">
        <v>280000</v>
      </c>
      <c r="H143" t="n">
        <v>280000</v>
      </c>
      <c r="I143" t="n">
        <v>280000</v>
      </c>
      <c r="J143" t="n">
        <v>280000</v>
      </c>
      <c r="K143" t="n">
        <v>280000</v>
      </c>
      <c r="L143" t="n">
        <v>280000</v>
      </c>
      <c r="M143" t="n">
        <v>280000</v>
      </c>
      <c r="N143" t="n">
        <v>280000</v>
      </c>
      <c r="O143" t="n">
        <v>280000</v>
      </c>
      <c r="P143">
        <f>IFERROR(SUM(D49:O49),"")</f>
        <v/>
      </c>
    </row>
    <row r="144">
      <c r="D144" t="n">
        <v>0</v>
      </c>
      <c r="E144">
        <f>IFERROR(SUM(E44:E49),"")</f>
        <v/>
      </c>
      <c r="F144">
        <f>IFERROR(SUM(F44:F49),"")</f>
        <v/>
      </c>
      <c r="G144">
        <f>IFERROR(SUM(G44:G49),"")</f>
        <v/>
      </c>
      <c r="H144">
        <f>IFERROR(SUM(H44:H49),"")</f>
        <v/>
      </c>
      <c r="I144">
        <f>IFERROR(SUM(I44:I49),"")</f>
        <v/>
      </c>
      <c r="J144">
        <f>IFERROR(SUM(J44:J49),"")</f>
        <v/>
      </c>
      <c r="K144">
        <f>IFERROR(SUM(K44:K49),"")</f>
        <v/>
      </c>
      <c r="L144">
        <f>IFERROR(SUM(L44:L49),"")</f>
        <v/>
      </c>
      <c r="M144">
        <f>IFERROR(SUM(M44:M49),"")</f>
        <v/>
      </c>
      <c r="N144">
        <f>IFERROR(SUM(N44:N49),"")</f>
        <v/>
      </c>
      <c r="O144">
        <f>IFERROR(SUM(O44:O49),"")</f>
        <v/>
      </c>
      <c r="P144">
        <f>IFERROR(SUM(D50:O50),"")</f>
        <v/>
      </c>
    </row>
    <row r="145">
      <c r="B145" t="inlineStr">
        <is>
          <t>BasePayroll80</t>
        </is>
      </c>
      <c r="C145" t="n">
        <v>7015000</v>
      </c>
    </row>
    <row r="146">
      <c r="A146" t="inlineStr">
        <is>
          <t>year 2</t>
        </is>
      </c>
    </row>
    <row r="147">
      <c r="A147" t="inlineStr">
        <is>
          <t>Payroll</t>
        </is>
      </c>
      <c r="B147" t="inlineStr">
        <is>
          <t>Rate</t>
        </is>
      </c>
      <c r="C147" t="inlineStr">
        <is>
          <t>Number</t>
        </is>
      </c>
      <c r="D147" t="inlineStr">
        <is>
          <t>Month 1</t>
        </is>
      </c>
      <c r="E147" t="inlineStr">
        <is>
          <t>Month 2</t>
        </is>
      </c>
      <c r="F147" t="inlineStr">
        <is>
          <t>Month 3</t>
        </is>
      </c>
      <c r="G147" t="inlineStr">
        <is>
          <t>Month 4</t>
        </is>
      </c>
      <c r="H147" t="inlineStr">
        <is>
          <t>Month 5</t>
        </is>
      </c>
      <c r="I147" t="inlineStr">
        <is>
          <t>Month 6</t>
        </is>
      </c>
      <c r="J147" t="inlineStr">
        <is>
          <t>Month 7</t>
        </is>
      </c>
      <c r="K147" t="inlineStr">
        <is>
          <t>Month 8</t>
        </is>
      </c>
      <c r="L147" t="inlineStr">
        <is>
          <t>Month 9</t>
        </is>
      </c>
      <c r="M147" t="inlineStr">
        <is>
          <t>Month 10</t>
        </is>
      </c>
      <c r="N147" t="inlineStr">
        <is>
          <t>Month 11</t>
        </is>
      </c>
      <c r="O147" t="inlineStr">
        <is>
          <t>Month 12</t>
        </is>
      </c>
      <c r="P147" t="inlineStr">
        <is>
          <t>Total</t>
        </is>
      </c>
    </row>
    <row r="148">
      <c r="A148" t="inlineStr">
        <is>
          <t>Manager</t>
        </is>
      </c>
      <c r="B148" t="n">
        <v>120000</v>
      </c>
      <c r="C148" t="n">
        <v>1</v>
      </c>
      <c r="D148" t="n">
        <v>120000</v>
      </c>
      <c r="E148" t="n">
        <v>120000</v>
      </c>
      <c r="F148" t="n">
        <v>120000</v>
      </c>
      <c r="G148" t="n">
        <v>120000</v>
      </c>
      <c r="H148" t="n">
        <v>120000</v>
      </c>
      <c r="I148" t="n">
        <v>120000</v>
      </c>
      <c r="J148" t="n">
        <v>120000</v>
      </c>
      <c r="K148" t="n">
        <v>120000</v>
      </c>
      <c r="L148" t="n">
        <v>120000</v>
      </c>
      <c r="M148" t="n">
        <v>120000</v>
      </c>
      <c r="N148" t="n">
        <v>120000</v>
      </c>
      <c r="O148" t="n">
        <v>120000</v>
      </c>
      <c r="P148">
        <f>IFERROR(SUM(D54:O54),"")</f>
        <v/>
      </c>
    </row>
    <row r="149">
      <c r="A149" t="inlineStr">
        <is>
          <t>AdminAcct</t>
        </is>
      </c>
      <c r="B149" t="n">
        <v>100000</v>
      </c>
      <c r="C149" t="n">
        <v>1</v>
      </c>
      <c r="D149" t="n">
        <v>100000</v>
      </c>
      <c r="E149" t="n">
        <v>100000</v>
      </c>
      <c r="F149" t="n">
        <v>100000</v>
      </c>
      <c r="G149" t="n">
        <v>100000</v>
      </c>
      <c r="H149" t="n">
        <v>100000</v>
      </c>
      <c r="I149" t="n">
        <v>100000</v>
      </c>
      <c r="J149" t="n">
        <v>100000</v>
      </c>
      <c r="K149" t="n">
        <v>100000</v>
      </c>
      <c r="L149" t="n">
        <v>100000</v>
      </c>
      <c r="M149" t="n">
        <v>100000</v>
      </c>
      <c r="N149" t="n">
        <v>100000</v>
      </c>
      <c r="O149" t="n">
        <v>100000</v>
      </c>
      <c r="P149">
        <f>IFERROR(SUM(D55:O55),"")</f>
        <v/>
      </c>
    </row>
    <row r="150">
      <c r="A150" t="inlineStr">
        <is>
          <t>Driver 1 Tractor</t>
        </is>
      </c>
      <c r="B150" t="n">
        <v>75000</v>
      </c>
      <c r="C150" t="n">
        <v>1</v>
      </c>
      <c r="D150" t="n">
        <v>75000</v>
      </c>
      <c r="E150" t="n">
        <v>75000</v>
      </c>
      <c r="F150" t="n">
        <v>75000</v>
      </c>
      <c r="G150" t="n">
        <v>75000</v>
      </c>
      <c r="H150" t="n">
        <v>75000</v>
      </c>
      <c r="I150" t="n">
        <v>75000</v>
      </c>
      <c r="J150" t="n">
        <v>75000</v>
      </c>
      <c r="K150" t="n">
        <v>75000</v>
      </c>
      <c r="L150" t="n">
        <v>75000</v>
      </c>
      <c r="M150" t="n">
        <v>75000</v>
      </c>
      <c r="N150" t="n">
        <v>75000</v>
      </c>
      <c r="O150" t="n">
        <v>75000</v>
      </c>
      <c r="P150">
        <f>IFERROR(SUM(D56:O56),"")</f>
        <v/>
      </c>
    </row>
    <row r="151">
      <c r="A151" t="inlineStr">
        <is>
          <t xml:space="preserve">Driver 2 Truck </t>
        </is>
      </c>
      <c r="B151" t="n">
        <v>75000</v>
      </c>
      <c r="C151" t="n">
        <v>1</v>
      </c>
      <c r="G151" t="n">
        <v>75000</v>
      </c>
      <c r="H151" t="n">
        <v>75000</v>
      </c>
      <c r="I151" t="n">
        <v>75000</v>
      </c>
      <c r="J151" t="n">
        <v>75000</v>
      </c>
      <c r="K151" t="n">
        <v>75000</v>
      </c>
      <c r="L151" t="n">
        <v>75000</v>
      </c>
      <c r="M151" t="n">
        <v>75000</v>
      </c>
      <c r="N151" t="n">
        <v>75000</v>
      </c>
      <c r="O151" t="n">
        <v>75000</v>
      </c>
      <c r="P151">
        <f>IFERROR(SUM(D57:O57),"")</f>
        <v/>
      </c>
    </row>
    <row r="152">
      <c r="A152" t="inlineStr">
        <is>
          <t>Cow Boys - Stockmen</t>
        </is>
      </c>
      <c r="B152" t="n">
        <v>70000</v>
      </c>
      <c r="C152" t="n">
        <v>4</v>
      </c>
      <c r="D152">
        <f>IFERROR(B58*3,"")</f>
        <v/>
      </c>
      <c r="E152">
        <f>IFERROR(D58,"")</f>
        <v/>
      </c>
      <c r="F152">
        <f>IFERROR(E58,"")</f>
        <v/>
      </c>
      <c r="G152">
        <f>IFERROR(F58,"")</f>
        <v/>
      </c>
      <c r="H152">
        <f>IFERROR(G58,"")</f>
        <v/>
      </c>
      <c r="I152">
        <f>IFERROR(H58,"")</f>
        <v/>
      </c>
      <c r="J152">
        <f>IFERROR(B58*C58,"")</f>
        <v/>
      </c>
      <c r="K152" t="n">
        <v>280000</v>
      </c>
      <c r="L152" t="n">
        <v>280000</v>
      </c>
      <c r="M152" t="n">
        <v>280000</v>
      </c>
      <c r="N152" t="n">
        <v>280000</v>
      </c>
      <c r="O152" t="n">
        <v>280000</v>
      </c>
      <c r="P152">
        <f>IFERROR(SUM(D58:O58),"")</f>
        <v/>
      </c>
    </row>
    <row r="153">
      <c r="A153" t="inlineStr">
        <is>
          <t>Cow Boys - Milkers</t>
        </is>
      </c>
      <c r="B153" t="n">
        <v>70000</v>
      </c>
      <c r="C153" t="n">
        <v>4</v>
      </c>
      <c r="G153">
        <f>IFERROR(B59*2,"")</f>
        <v/>
      </c>
      <c r="H153">
        <f>IFERROR(G59,"")</f>
        <v/>
      </c>
      <c r="I153">
        <f>IFERROR(H59,"")</f>
        <v/>
      </c>
      <c r="J153">
        <f>IFERROR(B59*3,"")</f>
        <v/>
      </c>
      <c r="K153">
        <f>IFERROR(J59,"")</f>
        <v/>
      </c>
      <c r="L153">
        <f>IFERROR(K59,"")</f>
        <v/>
      </c>
      <c r="M153">
        <f>IFERROR(B59*C59,"")</f>
        <v/>
      </c>
      <c r="N153">
        <f>IFERROR(M59,"")</f>
        <v/>
      </c>
      <c r="O153">
        <f>IFERROR(N59,"")</f>
        <v/>
      </c>
      <c r="P153">
        <f>IFERROR(SUM(D59:O59),"")</f>
        <v/>
      </c>
    </row>
    <row r="154">
      <c r="A154" t="inlineStr">
        <is>
          <t>Farm Hands</t>
        </is>
      </c>
      <c r="B154" t="n">
        <v>70000</v>
      </c>
      <c r="C154" t="n">
        <v>4</v>
      </c>
      <c r="D154" t="n">
        <v>280000</v>
      </c>
      <c r="E154" t="n">
        <v>280000</v>
      </c>
      <c r="F154" t="n">
        <v>280000</v>
      </c>
      <c r="G154" t="n">
        <v>280000</v>
      </c>
      <c r="H154" t="n">
        <v>280000</v>
      </c>
      <c r="I154" t="n">
        <v>280000</v>
      </c>
      <c r="J154" t="n">
        <v>280000</v>
      </c>
      <c r="K154" t="n">
        <v>280000</v>
      </c>
      <c r="L154" t="n">
        <v>280000</v>
      </c>
      <c r="M154" t="n">
        <v>280000</v>
      </c>
      <c r="N154" t="n">
        <v>280000</v>
      </c>
      <c r="O154" t="n">
        <v>280000</v>
      </c>
      <c r="P154">
        <f>IFERROR(SUM(D60:O60),"")</f>
        <v/>
      </c>
    </row>
    <row r="155">
      <c r="D155">
        <f>IFERROR(SUM(D54:D60),"")</f>
        <v/>
      </c>
      <c r="E155">
        <f>IFERROR(SUM(E54:E60),"")</f>
        <v/>
      </c>
      <c r="F155">
        <f>IFERROR(SUM(F54:F60),"")</f>
        <v/>
      </c>
      <c r="G155">
        <f>IFERROR(SUM(G54:G60),"")</f>
        <v/>
      </c>
      <c r="H155">
        <f>IFERROR(SUM(H54:H60),"")</f>
        <v/>
      </c>
      <c r="I155">
        <f>IFERROR(SUM(I54:I60),"")</f>
        <v/>
      </c>
      <c r="J155">
        <f>IFERROR(SUM(J54:J60),"")</f>
        <v/>
      </c>
      <c r="K155">
        <f>IFERROR(SUM(K54:K60),"")</f>
        <v/>
      </c>
      <c r="L155">
        <f>IFERROR(SUM(L54:L60),"")</f>
        <v/>
      </c>
      <c r="M155">
        <f>IFERROR(SUM(M54:M60),"")</f>
        <v/>
      </c>
      <c r="N155">
        <f>IFERROR(SUM(N54:N60),"")</f>
        <v/>
      </c>
      <c r="O155">
        <f>IFERROR(SUM(O54:O60),"")</f>
        <v/>
      </c>
      <c r="P155">
        <f>IFERROR(SUM(D61:O61),"")</f>
        <v/>
      </c>
    </row>
    <row r="156">
      <c r="B156" t="inlineStr">
        <is>
          <t>BasePayroll100</t>
        </is>
      </c>
      <c r="C156" t="n">
        <v>10935000</v>
      </c>
    </row>
    <row r="157">
      <c r="A157" t="inlineStr">
        <is>
          <t>Utilities</t>
        </is>
      </c>
      <c r="B157" t="inlineStr">
        <is>
          <t>Rate</t>
        </is>
      </c>
      <c r="C157" t="inlineStr">
        <is>
          <t>Number</t>
        </is>
      </c>
      <c r="D157" t="inlineStr">
        <is>
          <t>Month 1</t>
        </is>
      </c>
      <c r="E157" t="inlineStr">
        <is>
          <t>Month 2</t>
        </is>
      </c>
      <c r="F157" t="inlineStr">
        <is>
          <t>Month 3</t>
        </is>
      </c>
      <c r="G157" t="inlineStr">
        <is>
          <t>Month 4</t>
        </is>
      </c>
      <c r="H157" t="inlineStr">
        <is>
          <t>Month 5</t>
        </is>
      </c>
      <c r="I157" t="inlineStr">
        <is>
          <t>Month 6</t>
        </is>
      </c>
      <c r="J157" t="inlineStr">
        <is>
          <t>Month 7</t>
        </is>
      </c>
      <c r="K157" t="inlineStr">
        <is>
          <t>Month 8</t>
        </is>
      </c>
      <c r="L157" t="inlineStr">
        <is>
          <t>Month 9</t>
        </is>
      </c>
      <c r="M157" t="inlineStr">
        <is>
          <t>Month 10</t>
        </is>
      </c>
      <c r="N157" t="inlineStr">
        <is>
          <t>Month 11</t>
        </is>
      </c>
      <c r="O157" t="inlineStr">
        <is>
          <t>Month 12</t>
        </is>
      </c>
      <c r="P157" t="inlineStr">
        <is>
          <t>Total</t>
        </is>
      </c>
    </row>
    <row r="158">
      <c r="A158" t="inlineStr">
        <is>
          <t>Petrol</t>
        </is>
      </c>
      <c r="B158" t="n">
        <v>1500</v>
      </c>
      <c r="C158" t="n">
        <v>240</v>
      </c>
      <c r="D158">
        <f>IFERROR(C64*B64,"")</f>
        <v/>
      </c>
      <c r="E158">
        <f>IFERROR(D64,"")</f>
        <v/>
      </c>
      <c r="F158">
        <f>IFERROR(E64,"")</f>
        <v/>
      </c>
      <c r="G158">
        <f>IFERROR(F64,"")</f>
        <v/>
      </c>
      <c r="H158">
        <f>IFERROR(G64,"")</f>
        <v/>
      </c>
      <c r="I158">
        <f>IFERROR(H64,"")</f>
        <v/>
      </c>
      <c r="J158">
        <f>IFERROR(I64,"")</f>
        <v/>
      </c>
      <c r="K158">
        <f>IFERROR(J64,"")</f>
        <v/>
      </c>
      <c r="L158">
        <f>IFERROR(K64,"")</f>
        <v/>
      </c>
      <c r="M158">
        <f>IFERROR(L64,"")</f>
        <v/>
      </c>
      <c r="N158">
        <f>IFERROR(M64,"")</f>
        <v/>
      </c>
      <c r="O158">
        <f>IFERROR(N64,"")</f>
        <v/>
      </c>
      <c r="P158" t="n">
        <v>4320000</v>
      </c>
    </row>
    <row r="159">
      <c r="A159" t="inlineStr">
        <is>
          <t>Fuel (diesel)</t>
        </is>
      </c>
      <c r="B159" t="n">
        <v>2000</v>
      </c>
      <c r="C159" t="n">
        <v>120</v>
      </c>
      <c r="D159">
        <f>IFERROR(C65*B65,"")</f>
        <v/>
      </c>
      <c r="E159">
        <f>IFERROR(D65,"")</f>
        <v/>
      </c>
      <c r="F159">
        <f>IFERROR(E65,"")</f>
        <v/>
      </c>
      <c r="G159">
        <f>IFERROR(F65,"")</f>
        <v/>
      </c>
      <c r="H159">
        <f>IFERROR(G65,"")</f>
        <v/>
      </c>
      <c r="I159">
        <f>IFERROR(H65,"")</f>
        <v/>
      </c>
      <c r="J159">
        <f>IFERROR(I65,"")</f>
        <v/>
      </c>
      <c r="K159">
        <f>IFERROR(J65,"")</f>
        <v/>
      </c>
      <c r="L159">
        <f>IFERROR(K65,"")</f>
        <v/>
      </c>
      <c r="M159">
        <f>IFERROR(L65,"")</f>
        <v/>
      </c>
      <c r="N159">
        <f>IFERROR(M65,"")</f>
        <v/>
      </c>
      <c r="O159">
        <f>IFERROR(N65,"")</f>
        <v/>
      </c>
      <c r="P159" t="n">
        <v>2640000</v>
      </c>
    </row>
    <row r="160">
      <c r="D160">
        <f>IFERROR(D64+D65,"")</f>
        <v/>
      </c>
      <c r="E160">
        <f>IFERROR(E64+E65,"")</f>
        <v/>
      </c>
      <c r="F160">
        <f>IFERROR(F64+F65,"")</f>
        <v/>
      </c>
      <c r="G160">
        <f>IFERROR(G64+G65,"")</f>
        <v/>
      </c>
      <c r="H160">
        <f>IFERROR(H64+H65,"")</f>
        <v/>
      </c>
      <c r="I160">
        <f>IFERROR(I64+I65,"")</f>
        <v/>
      </c>
      <c r="J160">
        <f>IFERROR(J64+J65,"")</f>
        <v/>
      </c>
      <c r="K160">
        <f>IFERROR(K64+K65,"")</f>
        <v/>
      </c>
      <c r="L160">
        <f>IFERROR(L64+L65,"")</f>
        <v/>
      </c>
      <c r="M160">
        <f>IFERROR(M64+M65,"")</f>
        <v/>
      </c>
      <c r="N160">
        <f>IFERROR(N64+N65,"")</f>
        <v/>
      </c>
      <c r="O160">
        <f>IFERROR(O64+O65,"")</f>
        <v/>
      </c>
      <c r="P160">
        <f>IFERROR(P64+P65,"")</f>
        <v/>
      </c>
    </row>
    <row r="161">
      <c r="A161" t="inlineStr">
        <is>
          <t>Administration</t>
        </is>
      </c>
      <c r="B161" t="inlineStr">
        <is>
          <t>Rate</t>
        </is>
      </c>
      <c r="C161" t="inlineStr">
        <is>
          <t>Number</t>
        </is>
      </c>
      <c r="D161" t="inlineStr">
        <is>
          <t>Month 1</t>
        </is>
      </c>
      <c r="E161" t="inlineStr">
        <is>
          <t>Month 2</t>
        </is>
      </c>
      <c r="F161" t="inlineStr">
        <is>
          <t>Month 3</t>
        </is>
      </c>
      <c r="G161" t="inlineStr">
        <is>
          <t>Month 4</t>
        </is>
      </c>
      <c r="H161" t="inlineStr">
        <is>
          <t>Month 5</t>
        </is>
      </c>
      <c r="I161" t="inlineStr">
        <is>
          <t>Month 6</t>
        </is>
      </c>
      <c r="J161" t="inlineStr">
        <is>
          <t>Month 7</t>
        </is>
      </c>
      <c r="K161" t="inlineStr">
        <is>
          <t>Month 8</t>
        </is>
      </c>
      <c r="L161" t="inlineStr">
        <is>
          <t>Month 9</t>
        </is>
      </c>
      <c r="M161" t="inlineStr">
        <is>
          <t>Month 10</t>
        </is>
      </c>
      <c r="N161" t="inlineStr">
        <is>
          <t>Month 11</t>
        </is>
      </c>
      <c r="O161" t="inlineStr">
        <is>
          <t>Month 12</t>
        </is>
      </c>
      <c r="P161" t="inlineStr">
        <is>
          <t>Total</t>
        </is>
      </c>
    </row>
    <row r="162">
      <c r="A162" t="inlineStr">
        <is>
          <t>Print &amp; Post</t>
        </is>
      </c>
      <c r="B162" t="n">
        <v>1000</v>
      </c>
      <c r="C162" t="n">
        <v>500</v>
      </c>
      <c r="D162" t="n">
        <v>10000</v>
      </c>
      <c r="E162" t="n">
        <v>10000</v>
      </c>
      <c r="F162" t="n">
        <v>10000</v>
      </c>
      <c r="G162" t="n">
        <v>10000</v>
      </c>
      <c r="H162" t="n">
        <v>10000</v>
      </c>
      <c r="I162" t="n">
        <v>10000</v>
      </c>
      <c r="J162" t="n">
        <v>10000</v>
      </c>
      <c r="K162" t="n">
        <v>10000</v>
      </c>
      <c r="L162" t="n">
        <v>10000</v>
      </c>
      <c r="M162" t="n">
        <v>10000</v>
      </c>
      <c r="N162" t="n">
        <v>10000</v>
      </c>
      <c r="O162" t="n">
        <v>10000</v>
      </c>
      <c r="P162">
        <f>IFERROR(SUM(D68:O68),"")</f>
        <v/>
      </c>
    </row>
    <row r="163">
      <c r="P163" t="n">
        <v>0</v>
      </c>
    </row>
    <row r="164">
      <c r="A164" t="inlineStr">
        <is>
          <t>Repairs</t>
        </is>
      </c>
      <c r="B164" t="inlineStr">
        <is>
          <t>Rate</t>
        </is>
      </c>
      <c r="C164" t="inlineStr">
        <is>
          <t>Number</t>
        </is>
      </c>
      <c r="D164" t="inlineStr">
        <is>
          <t>Month 1</t>
        </is>
      </c>
      <c r="E164" t="inlineStr">
        <is>
          <t>Month 2</t>
        </is>
      </c>
      <c r="F164" t="inlineStr">
        <is>
          <t>Month 3</t>
        </is>
      </c>
      <c r="G164" t="inlineStr">
        <is>
          <t>Month 4</t>
        </is>
      </c>
      <c r="H164" t="inlineStr">
        <is>
          <t>Month 5</t>
        </is>
      </c>
      <c r="I164" t="inlineStr">
        <is>
          <t>Month 6</t>
        </is>
      </c>
      <c r="J164" t="inlineStr">
        <is>
          <t>Month 7</t>
        </is>
      </c>
      <c r="K164" t="inlineStr">
        <is>
          <t>Month 8</t>
        </is>
      </c>
      <c r="L164" t="inlineStr">
        <is>
          <t>Month 9</t>
        </is>
      </c>
      <c r="M164" t="inlineStr">
        <is>
          <t>Month 10</t>
        </is>
      </c>
      <c r="N164" t="inlineStr">
        <is>
          <t>Month 11</t>
        </is>
      </c>
      <c r="O164" t="inlineStr">
        <is>
          <t>Month 12</t>
        </is>
      </c>
      <c r="P164" t="inlineStr">
        <is>
          <t>Total</t>
        </is>
      </c>
    </row>
    <row r="165">
      <c r="A165" t="inlineStr">
        <is>
          <t>Repairs &amp; Maint</t>
        </is>
      </c>
      <c r="B165" t="n">
        <v>1000</v>
      </c>
      <c r="C165" t="n">
        <v>500</v>
      </c>
      <c r="J165" t="n">
        <v>16666.6666666667</v>
      </c>
      <c r="K165" t="n">
        <v>16666.6666666667</v>
      </c>
      <c r="L165" t="n">
        <v>16666.6666666667</v>
      </c>
      <c r="M165" t="n">
        <v>16666.6666666667</v>
      </c>
      <c r="N165" t="n">
        <v>16666.6666666667</v>
      </c>
      <c r="O165" t="n">
        <v>16666.6666666667</v>
      </c>
      <c r="P165">
        <f>IFERROR(SUM(J71:O71),"")</f>
        <v/>
      </c>
    </row>
    <row r="166">
      <c r="A166" t="inlineStr">
        <is>
          <t>Security</t>
        </is>
      </c>
      <c r="B166" t="inlineStr">
        <is>
          <t>Rate</t>
        </is>
      </c>
      <c r="C166" t="inlineStr">
        <is>
          <t>Number</t>
        </is>
      </c>
      <c r="D166" t="inlineStr">
        <is>
          <t>Month 1</t>
        </is>
      </c>
      <c r="E166" t="inlineStr">
        <is>
          <t>Month 2</t>
        </is>
      </c>
      <c r="F166" t="inlineStr">
        <is>
          <t>Month 3</t>
        </is>
      </c>
      <c r="G166" t="inlineStr">
        <is>
          <t>Month 4</t>
        </is>
      </c>
      <c r="H166" t="inlineStr">
        <is>
          <t>Month 5</t>
        </is>
      </c>
      <c r="I166" t="inlineStr">
        <is>
          <t>Month 6</t>
        </is>
      </c>
      <c r="J166" t="inlineStr">
        <is>
          <t>Month 7</t>
        </is>
      </c>
      <c r="K166" t="inlineStr">
        <is>
          <t>Month 8</t>
        </is>
      </c>
      <c r="L166" t="inlineStr">
        <is>
          <t>Month 9</t>
        </is>
      </c>
      <c r="M166" t="inlineStr">
        <is>
          <t>Month 10</t>
        </is>
      </c>
      <c r="N166" t="inlineStr">
        <is>
          <t>Month 11</t>
        </is>
      </c>
      <c r="O166" t="inlineStr">
        <is>
          <t>Month 12</t>
        </is>
      </c>
      <c r="P166" t="inlineStr">
        <is>
          <t>Total</t>
        </is>
      </c>
    </row>
    <row r="167">
      <c r="A167" t="inlineStr">
        <is>
          <t>Armed Security</t>
        </is>
      </c>
      <c r="B167" t="n">
        <v>75000</v>
      </c>
      <c r="C167" t="n">
        <v>2</v>
      </c>
      <c r="D167">
        <f>IFERROR(B74,"")</f>
        <v/>
      </c>
      <c r="E167">
        <f>IFERROR(D74,"")</f>
        <v/>
      </c>
      <c r="F167">
        <f>IFERROR(E74,"")</f>
        <v/>
      </c>
      <c r="G167">
        <f>IFERROR(F74,"")</f>
        <v/>
      </c>
      <c r="H167">
        <f>IFERROR(G74,"")</f>
        <v/>
      </c>
      <c r="I167">
        <f>IFERROR(H74,"")</f>
        <v/>
      </c>
      <c r="J167">
        <f>IFERROR(B74*C74,"")</f>
        <v/>
      </c>
      <c r="K167">
        <f>IFERROR(J74,"")</f>
        <v/>
      </c>
      <c r="L167">
        <f>IFERROR(K74,"")</f>
        <v/>
      </c>
      <c r="M167">
        <f>IFERROR(L74,"")</f>
        <v/>
      </c>
      <c r="N167">
        <f>IFERROR(M74,"")</f>
        <v/>
      </c>
      <c r="O167">
        <f>IFERROR(N74,"")</f>
        <v/>
      </c>
      <c r="P167">
        <f>IFERROR(SUM(D74:O74),"")</f>
        <v/>
      </c>
    </row>
    <row r="168">
      <c r="A168" t="inlineStr">
        <is>
          <t>Security</t>
        </is>
      </c>
      <c r="B168" t="n">
        <v>70000</v>
      </c>
      <c r="C168" t="n">
        <v>2</v>
      </c>
      <c r="D168" t="n">
        <v>70000</v>
      </c>
      <c r="E168" t="n">
        <v>70000</v>
      </c>
      <c r="F168" t="n">
        <v>70000</v>
      </c>
      <c r="G168" t="n">
        <v>140000</v>
      </c>
      <c r="H168" t="n">
        <v>140000</v>
      </c>
      <c r="I168" t="n">
        <v>140000</v>
      </c>
      <c r="J168" t="n">
        <v>140000</v>
      </c>
      <c r="K168" t="n">
        <v>140000</v>
      </c>
      <c r="L168" t="n">
        <v>140000</v>
      </c>
      <c r="M168" t="n">
        <v>140000</v>
      </c>
      <c r="N168" t="n">
        <v>140000</v>
      </c>
      <c r="O168" t="n">
        <v>140000</v>
      </c>
      <c r="P168" t="n">
        <v>1470000</v>
      </c>
    </row>
    <row r="169">
      <c r="D169">
        <f>IFERROR(D74+D76,"")</f>
        <v/>
      </c>
      <c r="E169">
        <f>IFERROR(E74+E76,"")</f>
        <v/>
      </c>
      <c r="F169">
        <f>IFERROR(F74+F76,"")</f>
        <v/>
      </c>
      <c r="G169">
        <f>IFERROR(G74+G76,"")</f>
        <v/>
      </c>
      <c r="H169">
        <f>IFERROR(H74+H76,"")</f>
        <v/>
      </c>
      <c r="I169">
        <f>IFERROR(I74+I76,"")</f>
        <v/>
      </c>
      <c r="J169">
        <f>IFERROR(J74+J76,"")</f>
        <v/>
      </c>
      <c r="K169">
        <f>IFERROR(K74+K76,"")</f>
        <v/>
      </c>
      <c r="L169">
        <f>IFERROR(L74+L76,"")</f>
        <v/>
      </c>
      <c r="M169">
        <f>IFERROR(M74+M76,"")</f>
        <v/>
      </c>
      <c r="N169">
        <f>IFERROR(N74+N76,"")</f>
        <v/>
      </c>
      <c r="O169">
        <f>IFERROR(O74+O76,"")</f>
        <v/>
      </c>
      <c r="P169">
        <f>IFERROR(P74+P76,"")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L2"/>
    <mergeCell ref="A1:L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topLeftCell="A1" zoomScaleNormal="100" workbookViewId="0">
      <pane xSplit="1" ySplit="3" topLeftCell="B4" activePane="bottomRight" state="frozen"/>
      <selection activeCell="A1" sqref="A1:H1"/>
      <selection pane="topRight" activeCell="A1" sqref="A1:H1"/>
      <selection pane="bottomLeft" activeCell="A1" sqref="A1:H1"/>
      <selection pane="bottomRight" activeCell="B7" sqref="B7"/>
    </sheetView>
  </sheetViews>
  <sheetFormatPr baseColWidth="10" defaultColWidth="8.83203125" defaultRowHeight="15"/>
  <cols>
    <col width="30" customWidth="1" style="239" min="1" max="1"/>
    <col width="15" customWidth="1" style="239" min="2" max="12"/>
  </cols>
  <sheetData>
    <row r="1" ht="16" customHeight="1" s="239">
      <c r="A1" s="241" t="inlineStr">
        <is>
          <t>Working Capital By Business Unit</t>
        </is>
      </c>
      <c r="B1" s="241" t="n"/>
      <c r="C1" s="241" t="n"/>
      <c r="D1" s="241" t="n"/>
      <c r="E1" s="241" t="n"/>
      <c r="F1" s="241" t="n"/>
      <c r="G1" s="241" t="n"/>
      <c r="H1" s="241" t="n"/>
      <c r="I1" s="241" t="n"/>
      <c r="J1" s="241" t="n"/>
      <c r="K1" s="241" t="n"/>
    </row>
    <row r="2">
      <c r="A2" s="241" t="n"/>
      <c r="B2" s="241" t="n"/>
      <c r="C2" s="241" t="n"/>
      <c r="D2" s="241" t="n"/>
      <c r="E2" s="241" t="n"/>
      <c r="F2" s="241" t="n"/>
      <c r="G2" s="241" t="n"/>
      <c r="H2" s="241" t="n"/>
      <c r="I2" s="241" t="n"/>
      <c r="J2" s="241" t="n"/>
      <c r="K2" s="241" t="n"/>
    </row>
    <row r="3" ht="15" customFormat="1" customHeight="1" s="20">
      <c r="A3" s="144" t="inlineStr">
        <is>
          <t>Year</t>
        </is>
      </c>
      <c r="B3" s="150" t="n">
        <v>1</v>
      </c>
      <c r="C3" s="150" t="n">
        <v>2</v>
      </c>
      <c r="D3" s="150" t="n">
        <v>3</v>
      </c>
      <c r="E3" s="150" t="n">
        <v>4</v>
      </c>
      <c r="F3" s="150" t="n">
        <v>5</v>
      </c>
      <c r="G3" s="150" t="n">
        <v>6</v>
      </c>
      <c r="H3" s="150" t="n">
        <v>7</v>
      </c>
      <c r="I3" s="150" t="n">
        <v>8</v>
      </c>
      <c r="J3" s="150" t="n">
        <v>9</v>
      </c>
      <c r="K3" s="150" t="n">
        <v>10</v>
      </c>
    </row>
    <row r="4" ht="15" customHeight="1" s="239">
      <c r="A4" s="146" t="inlineStr">
        <is>
          <t>Receivables</t>
        </is>
      </c>
      <c r="B4" s="140">
        <f>IFERROR(BALANCE_SHEET!B36/365*ASSUMPTIONS!$B$13/365*ASSUMPTIONS!$B$13,"")</f>
        <v/>
      </c>
      <c r="C4" s="140">
        <f>IFERROR(BALANCE_SHEET!C36/365*ASSUMPTIONS!$B$13/365*ASSUMPTIONS!$B$13,"")</f>
        <v/>
      </c>
      <c r="D4" s="140">
        <f>IFERROR(BALANCE_SHEET!D36/365*ASSUMPTIONS!$B$13/365*ASSUMPTIONS!$B$13,"")</f>
        <v/>
      </c>
      <c r="E4" s="140">
        <f>IFERROR(BALANCE_SHEET!E36/365*ASSUMPTIONS!$B$13/365*ASSUMPTIONS!$B$13,"")</f>
        <v/>
      </c>
      <c r="F4" s="140">
        <f>IFERROR(BALANCE_SHEET!F36/365*ASSUMPTIONS!$B$13/365*ASSUMPTIONS!$B$13,"")</f>
        <v/>
      </c>
      <c r="G4" s="140">
        <f>IFERROR(BALANCE_SHEET!G36/365*ASSUMPTIONS!$B$13/365*ASSUMPTIONS!$B$13,"")</f>
        <v/>
      </c>
      <c r="H4" s="140">
        <f>IFERROR(BALANCE_SHEET!H36/365*ASSUMPTIONS!$B$13/365*ASSUMPTIONS!$B$13,"")</f>
        <v/>
      </c>
      <c r="I4" s="140">
        <f>IFERROR(BALANCE_SHEET!I36/365*ASSUMPTIONS!$B$13/365*ASSUMPTIONS!$B$13,"")</f>
        <v/>
      </c>
      <c r="J4" s="140">
        <f>IFERROR(BALANCE_SHEET!J36/365*ASSUMPTIONS!$B$13/365*ASSUMPTIONS!$B$13,"")</f>
        <v/>
      </c>
      <c r="K4" s="140">
        <f>IFERROR(BALANCE_SHEET!K36/365*ASSUMPTIONS!$B$13/365*ASSUMPTIONS!$B$13,"")</f>
        <v/>
      </c>
    </row>
    <row r="5" ht="15" customHeight="1" s="239">
      <c r="A5" s="146" t="inlineStr">
        <is>
          <t>Inventory</t>
        </is>
      </c>
      <c r="B5" s="140">
        <f>IFERROR(OPEX!B14/365*ASSUMPTIONS!$B$14,"")</f>
        <v/>
      </c>
      <c r="C5" s="140">
        <f>IFERROR(OPEX!C14/365*ASSUMPTIONS!$B$14,"")</f>
        <v/>
      </c>
      <c r="D5" s="140">
        <f>IFERROR(OPEX!D14/365*ASSUMPTIONS!$B$14,"")</f>
        <v/>
      </c>
      <c r="E5" s="140">
        <f>IFERROR(OPEX!E14/365*ASSUMPTIONS!$B$14,"")</f>
        <v/>
      </c>
      <c r="F5" s="140">
        <f>IFERROR(OPEX!F14/365*ASSUMPTIONS!$B$14,"")</f>
        <v/>
      </c>
      <c r="G5" s="140">
        <f>IFERROR(OPEX!G14/365*ASSUMPTIONS!$B$14,"")</f>
        <v/>
      </c>
      <c r="H5" s="140">
        <f>IFERROR(OPEX!H14/365*ASSUMPTIONS!$B$14,"")</f>
        <v/>
      </c>
      <c r="I5" s="140">
        <f>IFERROR(OPEX!I14/365*ASSUMPTIONS!$B$14,"")</f>
        <v/>
      </c>
      <c r="J5" s="140">
        <f>IFERROR(OPEX!J14/365*ASSUMPTIONS!$B$14,"")</f>
        <v/>
      </c>
      <c r="K5" s="140">
        <f>IFERROR(OPEX!K14/365*ASSUMPTIONS!$B$14,"")</f>
        <v/>
      </c>
    </row>
    <row r="6" ht="15" customHeight="1" s="239">
      <c r="A6" s="146" t="inlineStr">
        <is>
          <t>Payables</t>
        </is>
      </c>
      <c r="B6" s="140">
        <f>IFERROR(OPEX!B14/365*ASSUMPTIONS!$B$15,"")</f>
        <v/>
      </c>
      <c r="C6" s="140">
        <f>IFERROR(OPEX!C14/365*ASSUMPTIONS!$B$15,"")</f>
        <v/>
      </c>
      <c r="D6" s="140">
        <f>IFERROR(OPEX!D14/365*ASSUMPTIONS!$B$15,"")</f>
        <v/>
      </c>
      <c r="E6" s="140">
        <f>IFERROR(OPEX!E14/365*ASSUMPTIONS!$B$15,"")</f>
        <v/>
      </c>
      <c r="F6" s="140">
        <f>IFERROR(OPEX!F14/365*ASSUMPTIONS!$B$15,"")</f>
        <v/>
      </c>
      <c r="G6" s="140">
        <f>IFERROR(OPEX!G14/365*ASSUMPTIONS!$B$15,"")</f>
        <v/>
      </c>
      <c r="H6" s="140">
        <f>IFERROR(OPEX!H14/365*ASSUMPTIONS!$B$15,"")</f>
        <v/>
      </c>
      <c r="I6" s="140">
        <f>IFERROR(OPEX!I14/365*ASSUMPTIONS!$B$15,"")</f>
        <v/>
      </c>
      <c r="J6" s="140">
        <f>IFERROR(OPEX!J14/365*ASSUMPTIONS!$B$15,"")</f>
        <v/>
      </c>
      <c r="K6" s="140">
        <f>IFERROR(OPEX!K14/365*ASSUMPTIONS!$B$15,"")</f>
        <v/>
      </c>
    </row>
    <row r="7" ht="15" customHeight="1" s="239">
      <c r="A7" s="146" t="inlineStr">
        <is>
          <t>NWC</t>
        </is>
      </c>
      <c r="B7" s="140">
        <f>IFERROR(B4+B5-B6,"")</f>
        <v/>
      </c>
      <c r="C7" s="140">
        <f>IFERROR(C4+C5-C6,"")</f>
        <v/>
      </c>
      <c r="D7" s="140">
        <f>IFERROR(D4+D5-D6,"")</f>
        <v/>
      </c>
      <c r="E7" s="140">
        <f>IFERROR(E4+E5-E6,"")</f>
        <v/>
      </c>
      <c r="F7" s="140">
        <f>IFERROR(F4+F5-F6,"")</f>
        <v/>
      </c>
      <c r="G7" s="140">
        <f>IFERROR(G4+G5-G6,"")</f>
        <v/>
      </c>
      <c r="H7" s="140">
        <f>IFERROR(H4+H5-H6,"")</f>
        <v/>
      </c>
      <c r="I7" s="140">
        <f>IFERROR(I4+I5-I6,"")</f>
        <v/>
      </c>
      <c r="J7" s="140">
        <f>IFERROR(J4+J5-J6,"")</f>
        <v/>
      </c>
      <c r="K7" s="140">
        <f>IFERROR(K4+K5-K6,"")</f>
        <v/>
      </c>
    </row>
    <row r="8" ht="15" customHeight="1" s="239">
      <c r="A8" s="146" t="inlineStr">
        <is>
          <t>Delta_NWC</t>
        </is>
      </c>
      <c r="B8" s="140">
        <f>IFERROR(B7,"")</f>
        <v/>
      </c>
      <c r="C8" s="140">
        <f>IFERROR(C7-B7,"")</f>
        <v/>
      </c>
      <c r="D8" s="140">
        <f>IFERROR(D7-C7,"")</f>
        <v/>
      </c>
      <c r="E8" s="140">
        <f>IFERROR(E7-D7,"")</f>
        <v/>
      </c>
      <c r="F8" s="140">
        <f>IFERROR(F7-E7,"")</f>
        <v/>
      </c>
      <c r="G8" s="140">
        <f>IFERROR(G7-F7,"")</f>
        <v/>
      </c>
      <c r="H8" s="140">
        <f>IFERROR(H7-G7,"")</f>
        <v/>
      </c>
      <c r="I8" s="140">
        <f>IFERROR(I7-H7,"")</f>
        <v/>
      </c>
      <c r="J8" s="140">
        <f>IFERROR(J7-I7,"")</f>
        <v/>
      </c>
      <c r="K8" s="140">
        <f>IFERROR(K7-J7,"")</f>
        <v/>
      </c>
    </row>
    <row r="9">
      <c r="A9" s="241" t="n"/>
      <c r="B9" s="241" t="n"/>
      <c r="C9" s="241" t="n"/>
      <c r="D9" s="241" t="n"/>
      <c r="E9" s="241" t="n"/>
      <c r="F9" s="241" t="n"/>
      <c r="G9" s="241" t="n"/>
      <c r="H9" s="241" t="n"/>
      <c r="I9" s="241" t="n"/>
      <c r="J9" s="241" t="n"/>
      <c r="K9" s="241" t="n"/>
    </row>
    <row r="10">
      <c r="A10" s="241" t="n"/>
      <c r="B10" s="241" t="n"/>
      <c r="C10" s="241" t="n"/>
      <c r="D10" s="241" t="n"/>
      <c r="E10" s="241" t="n"/>
      <c r="F10" s="241" t="n"/>
      <c r="G10" s="241" t="n"/>
      <c r="H10" s="241" t="n"/>
      <c r="I10" s="241" t="n"/>
      <c r="J10" s="241" t="n"/>
      <c r="K10" s="241" t="n"/>
    </row>
    <row r="11" ht="32" customHeight="1" s="239">
      <c r="A11" s="141" t="inlineStr">
        <is>
          <t>Detailed Business Unit Working Capital</t>
        </is>
      </c>
      <c r="B11" s="142" t="n"/>
      <c r="C11" s="142" t="n"/>
      <c r="D11" s="142" t="n"/>
      <c r="E11" s="142" t="n"/>
      <c r="F11" s="142" t="n"/>
      <c r="G11" s="142" t="n"/>
      <c r="H11" s="142" t="n"/>
      <c r="I11" s="142" t="n"/>
      <c r="J11" s="142" t="n"/>
      <c r="K11" s="142" t="n"/>
    </row>
    <row r="12" ht="22" customHeight="1" s="239">
      <c r="A12" s="253" t="inlineStr">
        <is>
          <t>Working Capital Detail</t>
        </is>
      </c>
      <c r="B12" s="241" t="n"/>
      <c r="C12" s="241" t="n"/>
      <c r="D12" s="241" t="n"/>
      <c r="E12" s="241" t="n"/>
      <c r="F12" s="241" t="n"/>
      <c r="G12" s="241" t="n"/>
      <c r="H12" s="241" t="n"/>
      <c r="I12" s="241" t="n"/>
      <c r="J12" s="241" t="n"/>
      <c r="K12" s="241" t="n"/>
    </row>
    <row r="13" ht="48" customHeight="1" s="239">
      <c r="A13" s="257" t="inlineStr">
        <is>
          <t>Separate receivables, inventory, payables, NWC, and NWC movement by business unit.</t>
        </is>
      </c>
      <c r="B13" s="241" t="n"/>
      <c r="C13" s="241" t="n"/>
      <c r="D13" s="241" t="n"/>
      <c r="E13" s="241" t="n"/>
      <c r="F13" s="241" t="n"/>
      <c r="G13" s="241" t="n"/>
      <c r="H13" s="241" t="n"/>
      <c r="I13" s="241" t="n"/>
      <c r="J13" s="241" t="n"/>
      <c r="K13" s="241" t="n"/>
    </row>
    <row r="14" ht="16" customHeight="1" s="239">
      <c r="A14" s="154" t="inlineStr">
        <is>
          <t>Line Item</t>
        </is>
      </c>
      <c r="B14" s="154" t="inlineStr">
        <is>
          <t>Y1</t>
        </is>
      </c>
      <c r="C14" s="154" t="inlineStr">
        <is>
          <t>Y2</t>
        </is>
      </c>
      <c r="D14" s="154" t="inlineStr">
        <is>
          <t>Y3</t>
        </is>
      </c>
      <c r="E14" s="154" t="inlineStr">
        <is>
          <t>Y4</t>
        </is>
      </c>
      <c r="F14" s="154" t="inlineStr">
        <is>
          <t>Y5</t>
        </is>
      </c>
      <c r="G14" s="154" t="inlineStr">
        <is>
          <t>Y6</t>
        </is>
      </c>
      <c r="H14" s="154" t="inlineStr">
        <is>
          <t>Y7</t>
        </is>
      </c>
      <c r="I14" s="154" t="inlineStr">
        <is>
          <t>Y8</t>
        </is>
      </c>
      <c r="J14" s="154" t="inlineStr">
        <is>
          <t>Y9</t>
        </is>
      </c>
      <c r="K14" s="154" t="inlineStr">
        <is>
          <t>Y10</t>
        </is>
      </c>
    </row>
    <row r="15" ht="16" customHeight="1" s="239">
      <c r="A15" s="241" t="inlineStr">
        <is>
          <t>Dairy revenue</t>
        </is>
      </c>
      <c r="B15" s="140">
        <f>IFERROR(BALANCE_SHEET!B32+BALANCE_SHEET!B33+BALANCE_SHEET!B34+BALANCE_SHEET!B33+BALANCE_SHEET!B34+BALANCE_SHEET!B34,"")</f>
        <v/>
      </c>
      <c r="C15" s="140">
        <f>IFERROR(BALANCE_SHEET!C32+BALANCE_SHEET!C33+BALANCE_SHEET!C34+BALANCE_SHEET!C33+BALANCE_SHEET!C34+BALANCE_SHEET!C34,"")</f>
        <v/>
      </c>
      <c r="D15" s="140">
        <f>IFERROR(BALANCE_SHEET!D32+BALANCE_SHEET!D33+BALANCE_SHEET!D34+BALANCE_SHEET!D33+BALANCE_SHEET!D34+BALANCE_SHEET!D34,"")</f>
        <v/>
      </c>
      <c r="E15" s="140">
        <f>IFERROR(BALANCE_SHEET!E32+BALANCE_SHEET!E33+BALANCE_SHEET!E34+BALANCE_SHEET!E33+BALANCE_SHEET!E34+BALANCE_SHEET!E34,"")</f>
        <v/>
      </c>
      <c r="F15" s="140">
        <f>IFERROR(BALANCE_SHEET!F32+BALANCE_SHEET!F33+BALANCE_SHEET!F34+BALANCE_SHEET!F33+BALANCE_SHEET!F34+BALANCE_SHEET!F34,"")</f>
        <v/>
      </c>
      <c r="G15" s="140">
        <f>IFERROR(BALANCE_SHEET!G32+BALANCE_SHEET!G33+BALANCE_SHEET!G34+BALANCE_SHEET!G33+BALANCE_SHEET!G34+BALANCE_SHEET!G34,"")</f>
        <v/>
      </c>
      <c r="H15" s="140">
        <f>IFERROR(BALANCE_SHEET!H32+BALANCE_SHEET!H33+BALANCE_SHEET!H34+BALANCE_SHEET!H33+BALANCE_SHEET!H34+BALANCE_SHEET!H34,"")</f>
        <v/>
      </c>
      <c r="I15" s="140">
        <f>IFERROR(BALANCE_SHEET!I32+BALANCE_SHEET!I33+BALANCE_SHEET!I34+BALANCE_SHEET!I33+BALANCE_SHEET!I34+BALANCE_SHEET!I34,"")</f>
        <v/>
      </c>
      <c r="J15" s="140">
        <f>IFERROR(BALANCE_SHEET!J32+BALANCE_SHEET!J33+BALANCE_SHEET!J34+BALANCE_SHEET!J33+BALANCE_SHEET!J34+BALANCE_SHEET!J34,"")</f>
        <v/>
      </c>
      <c r="K15" s="140">
        <f>IFERROR(BALANCE_SHEET!K32+BALANCE_SHEET!K33+BALANCE_SHEET!K34+BALANCE_SHEET!K33+BALANCE_SHEET!K34+BALANCE_SHEET!K34,"")</f>
        <v/>
      </c>
    </row>
    <row r="16" ht="16" customHeight="1" s="239">
      <c r="A16" s="241" t="inlineStr">
        <is>
          <t>Feed Farm revenue</t>
        </is>
      </c>
      <c r="B16" s="140">
        <f>IFERROR(FEED_FARM!B20,"")</f>
        <v/>
      </c>
      <c r="C16" s="140">
        <f>IFERROR(FEED_FARM!C20,"")</f>
        <v/>
      </c>
      <c r="D16" s="140">
        <f>IFERROR(FEED_FARM!D20,"")</f>
        <v/>
      </c>
      <c r="E16" s="140">
        <f>IFERROR(FEED_FARM!E20,"")</f>
        <v/>
      </c>
      <c r="F16" s="140">
        <f>IFERROR(FEED_FARM!F20,"")</f>
        <v/>
      </c>
      <c r="G16" s="140">
        <f>IFERROR(FEED_FARM!G20,"")</f>
        <v/>
      </c>
      <c r="H16" s="140">
        <f>IFERROR(FEED_FARM!H20,"")</f>
        <v/>
      </c>
      <c r="I16" s="140">
        <f>IFERROR(FEED_FARM!I20,"")</f>
        <v/>
      </c>
      <c r="J16" s="140">
        <f>IFERROR(FEED_FARM!J20,"")</f>
        <v/>
      </c>
      <c r="K16" s="140">
        <f>IFERROR(FEED_FARM!K20,"")</f>
        <v/>
      </c>
    </row>
    <row r="17" ht="16" customHeight="1" s="239">
      <c r="A17" s="241" t="inlineStr">
        <is>
          <t>Bull Fattening revenue</t>
        </is>
      </c>
      <c r="B17" s="140">
        <f>IFERROR(FATTENING!B$15,"")</f>
        <v/>
      </c>
      <c r="C17" s="140">
        <f>IFERROR(FATTENING!C$15,"")</f>
        <v/>
      </c>
      <c r="D17" s="140">
        <f>IFERROR(FATTENING!D$15,"")</f>
        <v/>
      </c>
      <c r="E17" s="140">
        <f>IFERROR(FATTENING!E$15,"")</f>
        <v/>
      </c>
      <c r="F17" s="140">
        <f>IFERROR(FATTENING!F$15,"")</f>
        <v/>
      </c>
      <c r="G17" s="140">
        <f>IFERROR(FATTENING!G$15,"")</f>
        <v/>
      </c>
      <c r="H17" s="140">
        <f>IFERROR(FATTENING!H$15,"")</f>
        <v/>
      </c>
      <c r="I17" s="140">
        <f>IFERROR(FATTENING!I$15,"")</f>
        <v/>
      </c>
      <c r="J17" s="140">
        <f>IFERROR(FATTENING!J$15,"")</f>
        <v/>
      </c>
      <c r="K17" s="140">
        <f>IFERROR(FATTENING!K$15,"")</f>
        <v/>
      </c>
    </row>
    <row r="18" ht="16" customHeight="1" s="239">
      <c r="A18" s="241" t="inlineStr">
        <is>
          <t>Logistics revenue</t>
        </is>
      </c>
      <c r="B18" s="140">
        <f>IFERROR(LOGISTICS!B9,"")</f>
        <v/>
      </c>
      <c r="C18" s="140">
        <f>IFERROR(LOGISTICS!C9,"")</f>
        <v/>
      </c>
      <c r="D18" s="140">
        <f>IFERROR(LOGISTICS!D9,"")</f>
        <v/>
      </c>
      <c r="E18" s="140">
        <f>IFERROR(LOGISTICS!E9,"")</f>
        <v/>
      </c>
      <c r="F18" s="140">
        <f>IFERROR(LOGISTICS!F9,"")</f>
        <v/>
      </c>
      <c r="G18" s="140">
        <f>IFERROR(LOGISTICS!G9,"")</f>
        <v/>
      </c>
      <c r="H18" s="140">
        <f>IFERROR(LOGISTICS!H9,"")</f>
        <v/>
      </c>
      <c r="I18" s="140">
        <f>IFERROR(LOGISTICS!I9,"")</f>
        <v/>
      </c>
      <c r="J18" s="140">
        <f>IFERROR(LOGISTICS!J9,"")</f>
        <v/>
      </c>
      <c r="K18" s="140">
        <f>IFERROR(LOGISTICS!K9,"")</f>
        <v/>
      </c>
    </row>
    <row r="19" ht="16" customHeight="1" s="239">
      <c r="A19" s="241" t="inlineStr">
        <is>
          <t>Dairy NWC</t>
        </is>
      </c>
      <c r="B19" s="140">
        <f>IFERROR((B4/365*ASSUMPTIONS!$B$13)+(OPEX!B14/365*ASSUMPTIONS!$B$14)-(OPEX!B14/365*ASSUMPTIONS!$B$15),"")</f>
        <v/>
      </c>
      <c r="C19" s="140">
        <f>IFERROR((C4/365*ASSUMPTIONS!$B$13)+(OPEX!C14/365*ASSUMPTIONS!$B$14)-(OPEX!C14/365*ASSUMPTIONS!$B$15),"")</f>
        <v/>
      </c>
      <c r="D19" s="140">
        <f>IFERROR((D4/365*ASSUMPTIONS!$B$13)+(OPEX!D14/365*ASSUMPTIONS!$B$14)-(OPEX!D14/365*ASSUMPTIONS!$B$15),"")</f>
        <v/>
      </c>
      <c r="E19" s="140">
        <f>IFERROR((E4/365*ASSUMPTIONS!$B$13)+(OPEX!E14/365*ASSUMPTIONS!$B$14)-(OPEX!E14/365*ASSUMPTIONS!$B$15),"")</f>
        <v/>
      </c>
      <c r="F19" s="140">
        <f>IFERROR((F4/365*ASSUMPTIONS!$B$13)+(OPEX!F14/365*ASSUMPTIONS!$B$14)-(OPEX!F14/365*ASSUMPTIONS!$B$15),"")</f>
        <v/>
      </c>
      <c r="G19" s="140">
        <f>IFERROR((G4/365*ASSUMPTIONS!$B$13)+(OPEX!G14/365*ASSUMPTIONS!$B$14)-(OPEX!G14/365*ASSUMPTIONS!$B$15),"")</f>
        <v/>
      </c>
      <c r="H19" s="140">
        <f>IFERROR((H4/365*ASSUMPTIONS!$B$13)+(OPEX!H14/365*ASSUMPTIONS!$B$14)-(OPEX!H14/365*ASSUMPTIONS!$B$15),"")</f>
        <v/>
      </c>
      <c r="I19" s="140">
        <f>IFERROR((I4/365*ASSUMPTIONS!$B$13)+(OPEX!I14/365*ASSUMPTIONS!$B$14)-(OPEX!I14/365*ASSUMPTIONS!$B$15),"")</f>
        <v/>
      </c>
      <c r="J19" s="140">
        <f>IFERROR((J4/365*ASSUMPTIONS!$B$13)+(OPEX!J14/365*ASSUMPTIONS!$B$14)-(OPEX!J14/365*ASSUMPTIONS!$B$15),"")</f>
        <v/>
      </c>
      <c r="K19" s="140">
        <f>IFERROR((K4/365*ASSUMPTIONS!$B$13)+(OPEX!K14/365*ASSUMPTIONS!$B$14)-(OPEX!K14/365*ASSUMPTIONS!$B$15),"")</f>
        <v/>
      </c>
    </row>
    <row r="20" ht="16" customHeight="1" s="239">
      <c r="A20" s="241" t="inlineStr">
        <is>
          <t>Feed Farm NWC</t>
        </is>
      </c>
      <c r="B20" s="140">
        <f>IFERROR((B5/365*ASSUMPTIONS!$B$13)+(FEED_FARM!B21/365*ASSUMPTIONS!$B$14)-(FEED_FARM!B21/365*ASSUMPTIONS!$B$15),"")</f>
        <v/>
      </c>
      <c r="C20" s="140">
        <f>IFERROR((C5/365*ASSUMPTIONS!$B$13)+(FEED_FARM!C21/365*ASSUMPTIONS!$B$14)-(FEED_FARM!C21/365*ASSUMPTIONS!$B$15),"")</f>
        <v/>
      </c>
      <c r="D20" s="140">
        <f>IFERROR((D5/365*ASSUMPTIONS!$B$13)+(FEED_FARM!D21/365*ASSUMPTIONS!$B$14)-(FEED_FARM!D21/365*ASSUMPTIONS!$B$15),"")</f>
        <v/>
      </c>
      <c r="E20" s="140">
        <f>IFERROR((E5/365*ASSUMPTIONS!$B$13)+(FEED_FARM!E21/365*ASSUMPTIONS!$B$14)-(FEED_FARM!E21/365*ASSUMPTIONS!$B$15),"")</f>
        <v/>
      </c>
      <c r="F20" s="140">
        <f>IFERROR((F5/365*ASSUMPTIONS!$B$13)+(FEED_FARM!F21/365*ASSUMPTIONS!$B$14)-(FEED_FARM!F21/365*ASSUMPTIONS!$B$15),"")</f>
        <v/>
      </c>
      <c r="G20" s="140">
        <f>IFERROR((G5/365*ASSUMPTIONS!$B$13)+(FEED_FARM!G21/365*ASSUMPTIONS!$B$14)-(FEED_FARM!G21/365*ASSUMPTIONS!$B$15),"")</f>
        <v/>
      </c>
      <c r="H20" s="140">
        <f>IFERROR((H5/365*ASSUMPTIONS!$B$13)+(FEED_FARM!H21/365*ASSUMPTIONS!$B$14)-(FEED_FARM!H21/365*ASSUMPTIONS!$B$15),"")</f>
        <v/>
      </c>
      <c r="I20" s="140">
        <f>IFERROR((I5/365*ASSUMPTIONS!$B$13)+(FEED_FARM!I21/365*ASSUMPTIONS!$B$14)-(FEED_FARM!I21/365*ASSUMPTIONS!$B$15),"")</f>
        <v/>
      </c>
      <c r="J20" s="140">
        <f>IFERROR((J5/365*ASSUMPTIONS!$B$13)+(FEED_FARM!J21/365*ASSUMPTIONS!$B$14)-(FEED_FARM!J21/365*ASSUMPTIONS!$B$15),"")</f>
        <v/>
      </c>
      <c r="K20" s="140">
        <f>IFERROR((K5/365*ASSUMPTIONS!$B$13)+(FEED_FARM!K21/365*ASSUMPTIONS!$B$14)-(FEED_FARM!K21/365*ASSUMPTIONS!$B$15),"")</f>
        <v/>
      </c>
    </row>
    <row r="21" ht="16" customHeight="1" s="239">
      <c r="A21" s="241" t="inlineStr">
        <is>
          <t>Bull Fattening NWC</t>
        </is>
      </c>
      <c r="B21" s="140">
        <f>IFERROR((B17/365*ASSUMPTIONS!$B$13)+((FATTENING!B$16+FATTENING!B$17+FATTENING!B$18+FATTENING!B$19)/365*ASSUMPTIONS!$B$14)-((FATTENING!B$16+FATTENING!B$17+FATTENING!B$18+FATTENING!B$19)/365*ASSUMPTIONS!$B$15),"")</f>
        <v/>
      </c>
      <c r="C21" s="140">
        <f>IFERROR((C17/365*ASSUMPTIONS!$B$13)+((FATTENING!C$16+FATTENING!C$17+FATTENING!C$18+FATTENING!C$19)/365*ASSUMPTIONS!$B$14)-((FATTENING!C$16+FATTENING!C$17+FATTENING!C$18+FATTENING!C$19)/365*ASSUMPTIONS!$B$15),"")</f>
        <v/>
      </c>
      <c r="D21" s="140">
        <f>IFERROR((D17/365*ASSUMPTIONS!$B$13)+((FATTENING!D$16+FATTENING!D$17+FATTENING!D$18+FATTENING!D$19)/365*ASSUMPTIONS!$B$14)-((FATTENING!D$16+FATTENING!D$17+FATTENING!D$18+FATTENING!D$19)/365*ASSUMPTIONS!$B$15),"")</f>
        <v/>
      </c>
      <c r="E21" s="140">
        <f>IFERROR((E17/365*ASSUMPTIONS!$B$13)+((FATTENING!E$16+FATTENING!E$17+FATTENING!E$18+FATTENING!E$19)/365*ASSUMPTIONS!$B$14)-((FATTENING!E$16+FATTENING!E$17+FATTENING!E$18+FATTENING!E$19)/365*ASSUMPTIONS!$B$15),"")</f>
        <v/>
      </c>
      <c r="F21" s="140">
        <f>IFERROR((F17/365*ASSUMPTIONS!$B$13)+((FATTENING!F$16+FATTENING!F$17+FATTENING!F$18+FATTENING!F$19)/365*ASSUMPTIONS!$B$14)-((FATTENING!F$16+FATTENING!F$17+FATTENING!F$18+FATTENING!F$19)/365*ASSUMPTIONS!$B$15),"")</f>
        <v/>
      </c>
      <c r="G21" s="140">
        <f>IFERROR((G17/365*ASSUMPTIONS!$B$13)+((FATTENING!G$16+FATTENING!G$17+FATTENING!G$18+FATTENING!G$19)/365*ASSUMPTIONS!$B$14)-((FATTENING!G$16+FATTENING!G$17+FATTENING!G$18+FATTENING!G$19)/365*ASSUMPTIONS!$B$15),"")</f>
        <v/>
      </c>
      <c r="H21" s="140">
        <f>IFERROR((H17/365*ASSUMPTIONS!$B$13)+((FATTENING!H$16+FATTENING!H$17+FATTENING!H$18+FATTENING!H$19)/365*ASSUMPTIONS!$B$14)-((FATTENING!H$16+FATTENING!H$17+FATTENING!H$18+FATTENING!H$19)/365*ASSUMPTIONS!$B$15),"")</f>
        <v/>
      </c>
      <c r="I21" s="140">
        <f>IFERROR((I17/365*ASSUMPTIONS!$B$13)+((FATTENING!I$16+FATTENING!I$17+FATTENING!I$18+FATTENING!I$19)/365*ASSUMPTIONS!$B$14)-((FATTENING!I$16+FATTENING!I$17+FATTENING!I$18+FATTENING!I$19)/365*ASSUMPTIONS!$B$15),"")</f>
        <v/>
      </c>
      <c r="J21" s="140">
        <f>IFERROR((J17/365*ASSUMPTIONS!$B$13)+((FATTENING!J$16+FATTENING!J$17+FATTENING!J$18+FATTENING!J$19)/365*ASSUMPTIONS!$B$14)-((FATTENING!J$16+FATTENING!J$17+FATTENING!J$18+FATTENING!J$19)/365*ASSUMPTIONS!$B$15),"")</f>
        <v/>
      </c>
      <c r="K21" s="140">
        <f>IFERROR((K17/365*ASSUMPTIONS!$B$13)+((FATTENING!K$16+FATTENING!K$17+FATTENING!K$18+FATTENING!K$19)/365*ASSUMPTIONS!$B$14)-((FATTENING!K$16+FATTENING!K$17+FATTENING!K$18+FATTENING!K$19)/365*ASSUMPTIONS!$B$15),"")</f>
        <v/>
      </c>
    </row>
    <row r="22" ht="16" customHeight="1" s="239">
      <c r="A22" s="241" t="inlineStr">
        <is>
          <t>Logistics NWC</t>
        </is>
      </c>
      <c r="B22" s="140">
        <f>IFERROR((B7/365*ASSUMPTIONS!$B$13)+(LOGISTICS!B10/365*ASSUMPTIONS!$B$14)-(LOGISTICS!B10/365*ASSUMPTIONS!$B$15),"")</f>
        <v/>
      </c>
      <c r="C22" s="140">
        <f>IFERROR((C7/365*ASSUMPTIONS!$B$13)+(LOGISTICS!C10/365*ASSUMPTIONS!$B$14)-(LOGISTICS!C10/365*ASSUMPTIONS!$B$15),"")</f>
        <v/>
      </c>
      <c r="D22" s="140">
        <f>IFERROR((D7/365*ASSUMPTIONS!$B$13)+(LOGISTICS!D10/365*ASSUMPTIONS!$B$14)-(LOGISTICS!D10/365*ASSUMPTIONS!$B$15),"")</f>
        <v/>
      </c>
      <c r="E22" s="140">
        <f>IFERROR((E7/365*ASSUMPTIONS!$B$13)+(LOGISTICS!E10/365*ASSUMPTIONS!$B$14)-(LOGISTICS!E10/365*ASSUMPTIONS!$B$15),"")</f>
        <v/>
      </c>
      <c r="F22" s="140">
        <f>IFERROR((F7/365*ASSUMPTIONS!$B$13)+(LOGISTICS!F10/365*ASSUMPTIONS!$B$14)-(LOGISTICS!F10/365*ASSUMPTIONS!$B$15),"")</f>
        <v/>
      </c>
      <c r="G22" s="140">
        <f>IFERROR((G7/365*ASSUMPTIONS!$B$13)+(LOGISTICS!G10/365*ASSUMPTIONS!$B$14)-(LOGISTICS!G10/365*ASSUMPTIONS!$B$15),"")</f>
        <v/>
      </c>
      <c r="H22" s="140">
        <f>IFERROR((H7/365*ASSUMPTIONS!$B$13)+(LOGISTICS!H10/365*ASSUMPTIONS!$B$14)-(LOGISTICS!H10/365*ASSUMPTIONS!$B$15),"")</f>
        <v/>
      </c>
      <c r="I22" s="140">
        <f>IFERROR((I7/365*ASSUMPTIONS!$B$13)+(LOGISTICS!I10/365*ASSUMPTIONS!$B$14)-(LOGISTICS!I10/365*ASSUMPTIONS!$B$15),"")</f>
        <v/>
      </c>
      <c r="J22" s="140">
        <f>IFERROR((J7/365*ASSUMPTIONS!$B$13)+(LOGISTICS!J10/365*ASSUMPTIONS!$B$14)-(LOGISTICS!J10/365*ASSUMPTIONS!$B$15),"")</f>
        <v/>
      </c>
      <c r="K22" s="140">
        <f>IFERROR((K7/365*ASSUMPTIONS!$B$13)+(LOGISTICS!K10/365*ASSUMPTIONS!$B$14)-(LOGISTICS!K10/365*ASSUMPTIONS!$B$15),"")</f>
        <v/>
      </c>
    </row>
    <row r="23" ht="16" customHeight="1" s="239">
      <c r="A23" s="157" t="inlineStr">
        <is>
          <t>Total NWC</t>
        </is>
      </c>
      <c r="B23" s="158">
        <f>IFERROR(SUM(B8:B11),"")</f>
        <v/>
      </c>
      <c r="C23" s="158">
        <f>IFERROR(SUM(C8:C11),"")</f>
        <v/>
      </c>
      <c r="D23" s="158">
        <f>IFERROR(SUM(D8:D11),"")</f>
        <v/>
      </c>
      <c r="E23" s="158">
        <f>IFERROR(SUM(E8:E11),"")</f>
        <v/>
      </c>
      <c r="F23" s="158">
        <f>IFERROR(SUM(F8:F11),"")</f>
        <v/>
      </c>
      <c r="G23" s="158">
        <f>IFERROR(SUM(G8:G11),"")</f>
        <v/>
      </c>
      <c r="H23" s="158">
        <f>IFERROR(SUM(H8:H11),"")</f>
        <v/>
      </c>
      <c r="I23" s="158">
        <f>IFERROR(SUM(I8:I11),"")</f>
        <v/>
      </c>
      <c r="J23" s="158">
        <f>IFERROR(SUM(J8:J11),"")</f>
        <v/>
      </c>
      <c r="K23" s="158">
        <f>IFERROR(SUM(K8:K11),"")</f>
        <v/>
      </c>
    </row>
    <row r="24" ht="16" customHeight="1" s="239">
      <c r="A24" s="157" t="inlineStr">
        <is>
          <t>Delta NWC</t>
        </is>
      </c>
      <c r="B24" s="158">
        <f>IFERROR(B12,"")</f>
        <v/>
      </c>
      <c r="C24" s="158">
        <f>IFERROR(C12-B12,"")</f>
        <v/>
      </c>
      <c r="D24" s="158">
        <f>IFERROR(D12-C12,"")</f>
        <v/>
      </c>
      <c r="E24" s="158">
        <f>IFERROR(E12-D12,"")</f>
        <v/>
      </c>
      <c r="F24" s="158">
        <f>IFERROR(F12-E12,"")</f>
        <v/>
      </c>
      <c r="G24" s="158">
        <f>IFERROR(G12-F12,"")</f>
        <v/>
      </c>
      <c r="H24" s="158">
        <f>IFERROR(H12-G12,"")</f>
        <v/>
      </c>
      <c r="I24" s="158">
        <f>IFERROR(I12-H12,"")</f>
        <v/>
      </c>
      <c r="J24" s="158">
        <f>IFERROR(J12-I12,"")</f>
        <v/>
      </c>
      <c r="K24" s="158">
        <f>IFERROR(K12-J12,"")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pageMargins left="0.5" right="0.5" top="1" bottom="1" header="0.5" footer="0.5"/>
  <pageSetup orientation="landscape" horizontalDpi="300" verticalDpi="300"/>
  <headerFooter>
    <oddHeader>&amp;L&amp;A&amp;C&amp;"Calibri,Bold" Confidential&amp;RPage &amp;P</oddHeader>
    <oddFooter>&amp;C&amp;F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0" topLeftCell="A1" workbookViewId="0">
      <selection activeCell="A1" sqref="A1"/>
    </sheetView>
  </sheetViews>
  <sheetFormatPr baseColWidth="8" defaultRowHeight="15"/>
  <cols>
    <col width="28" customWidth="1" style="239" min="1" max="1"/>
    <col width="18" customWidth="1" style="239" min="2" max="2"/>
    <col width="18" customWidth="1" style="239" min="3" max="3"/>
    <col width="18" customWidth="1" style="239" min="4" max="4"/>
    <col width="18" customWidth="1" style="239" min="5" max="5"/>
    <col width="18" customWidth="1" style="239" min="6" max="6"/>
    <col width="18" customWidth="1" style="239" min="7" max="7"/>
    <col width="18" customWidth="1" style="239" min="8" max="8"/>
    <col width="18" customWidth="1" style="239" min="9" max="9"/>
    <col width="18" customWidth="1" style="239" min="10" max="10"/>
    <col width="18" customWidth="1" style="239" min="11" max="11"/>
    <col width="18" customWidth="1" style="239" min="12" max="12"/>
    <col width="18" customWidth="1" style="239" min="13" max="13"/>
  </cols>
  <sheetData>
    <row r="1">
      <c r="A1" s="396" t="inlineStr">
        <is>
          <t>CAPEX And Fixed Assets - BOA Version 2</t>
        </is>
      </c>
    </row>
    <row r="2">
      <c r="A2" s="397" t="inlineStr">
        <is>
          <t>Clean active CAPEX summary linked to CAPEX_APPENDIX; reduced/staged target is approximately NGN 1.758bn.</t>
        </is>
      </c>
    </row>
    <row r="4">
      <c r="A4" t="inlineStr">
        <is>
          <t>CAPEX Summary</t>
        </is>
      </c>
    </row>
    <row r="5">
      <c r="A5" s="398" t="inlineStr">
        <is>
          <t>Asset Class</t>
        </is>
      </c>
      <c r="B5" s="398" t="inlineStr">
        <is>
          <t>Depreciable?</t>
        </is>
      </c>
      <c r="C5" s="398" t="inlineStr">
        <is>
          <t>Useful Life</t>
        </is>
      </c>
      <c r="D5" s="398" t="n">
        <v>1</v>
      </c>
      <c r="E5" s="398" t="n">
        <v>2</v>
      </c>
      <c r="F5" s="398" t="n">
        <v>3</v>
      </c>
      <c r="G5" s="398" t="n">
        <v>4</v>
      </c>
      <c r="H5" s="398" t="n">
        <v>5</v>
      </c>
      <c r="I5" s="398" t="n">
        <v>6</v>
      </c>
      <c r="J5" s="398" t="n">
        <v>7</v>
      </c>
      <c r="K5" s="398" t="n">
        <v>8</v>
      </c>
      <c r="L5" s="398" t="n">
        <v>9</v>
      </c>
      <c r="M5" s="398" t="n">
        <v>10</v>
      </c>
    </row>
    <row r="6">
      <c r="A6" t="inlineStr">
        <is>
          <t>Land</t>
        </is>
      </c>
      <c r="B6" t="n">
        <v>0</v>
      </c>
      <c r="C6" t="n">
        <v>0</v>
      </c>
      <c r="D6">
        <f>SUMIFS(CAPEX_APPENDIX!$D:$D,CAPEX_APPENDIX!$E:$E,$A6,CAPEX_APPENDIX!$B:$B,D$5)</f>
        <v/>
      </c>
      <c r="E6">
        <f>SUMIFS(CAPEX_APPENDIX!$D:$D,CAPEX_APPENDIX!$E:$E,$A6,CAPEX_APPENDIX!$B:$B,E$5)</f>
        <v/>
      </c>
      <c r="F6">
        <f>SUMIFS(CAPEX_APPENDIX!$D:$D,CAPEX_APPENDIX!$E:$E,$A6,CAPEX_APPENDIX!$B:$B,F$5)</f>
        <v/>
      </c>
      <c r="G6">
        <f>SUMIFS(CAPEX_APPENDIX!$D:$D,CAPEX_APPENDIX!$E:$E,$A6,CAPEX_APPENDIX!$B:$B,G$5)</f>
        <v/>
      </c>
      <c r="H6">
        <f>SUMIFS(CAPEX_APPENDIX!$D:$D,CAPEX_APPENDIX!$E:$E,$A6,CAPEX_APPENDIX!$B:$B,H$5)</f>
        <v/>
      </c>
      <c r="I6">
        <f>SUMIFS(CAPEX_APPENDIX!$D:$D,CAPEX_APPENDIX!$E:$E,$A6,CAPEX_APPENDIX!$B:$B,I$5)</f>
        <v/>
      </c>
      <c r="J6">
        <f>SUMIFS(CAPEX_APPENDIX!$D:$D,CAPEX_APPENDIX!$E:$E,$A6,CAPEX_APPENDIX!$B:$B,J$5)</f>
        <v/>
      </c>
      <c r="K6">
        <f>SUMIFS(CAPEX_APPENDIX!$D:$D,CAPEX_APPENDIX!$E:$E,$A6,CAPEX_APPENDIX!$B:$B,K$5)</f>
        <v/>
      </c>
      <c r="L6">
        <f>SUMIFS(CAPEX_APPENDIX!$D:$D,CAPEX_APPENDIX!$E:$E,$A6,CAPEX_APPENDIX!$B:$B,L$5)</f>
        <v/>
      </c>
      <c r="M6">
        <f>SUMIFS(CAPEX_APPENDIX!$D:$D,CAPEX_APPENDIX!$E:$E,$A6,CAPEX_APPENDIX!$B:$B,M$5)</f>
        <v/>
      </c>
    </row>
    <row r="7">
      <c r="A7" t="inlineStr">
        <is>
          <t>Buildings</t>
        </is>
      </c>
      <c r="B7" t="n">
        <v>1</v>
      </c>
      <c r="C7" t="n">
        <v>20</v>
      </c>
      <c r="D7">
        <f>SUMIFS(CAPEX_APPENDIX!$D:$D,CAPEX_APPENDIX!$E:$E,$A7,CAPEX_APPENDIX!$B:$B,D$5)</f>
        <v/>
      </c>
      <c r="E7">
        <f>SUMIFS(CAPEX_APPENDIX!$D:$D,CAPEX_APPENDIX!$E:$E,$A7,CAPEX_APPENDIX!$B:$B,E$5)</f>
        <v/>
      </c>
      <c r="F7">
        <f>SUMIFS(CAPEX_APPENDIX!$D:$D,CAPEX_APPENDIX!$E:$E,$A7,CAPEX_APPENDIX!$B:$B,F$5)</f>
        <v/>
      </c>
      <c r="G7">
        <f>SUMIFS(CAPEX_APPENDIX!$D:$D,CAPEX_APPENDIX!$E:$E,$A7,CAPEX_APPENDIX!$B:$B,G$5)</f>
        <v/>
      </c>
      <c r="H7">
        <f>SUMIFS(CAPEX_APPENDIX!$D:$D,CAPEX_APPENDIX!$E:$E,$A7,CAPEX_APPENDIX!$B:$B,H$5)</f>
        <v/>
      </c>
      <c r="I7">
        <f>SUMIFS(CAPEX_APPENDIX!$D:$D,CAPEX_APPENDIX!$E:$E,$A7,CAPEX_APPENDIX!$B:$B,I$5)</f>
        <v/>
      </c>
      <c r="J7">
        <f>SUMIFS(CAPEX_APPENDIX!$D:$D,CAPEX_APPENDIX!$E:$E,$A7,CAPEX_APPENDIX!$B:$B,J$5)</f>
        <v/>
      </c>
      <c r="K7">
        <f>SUMIFS(CAPEX_APPENDIX!$D:$D,CAPEX_APPENDIX!$E:$E,$A7,CAPEX_APPENDIX!$B:$B,K$5)</f>
        <v/>
      </c>
      <c r="L7">
        <f>SUMIFS(CAPEX_APPENDIX!$D:$D,CAPEX_APPENDIX!$E:$E,$A7,CAPEX_APPENDIX!$B:$B,L$5)</f>
        <v/>
      </c>
      <c r="M7">
        <f>SUMIFS(CAPEX_APPENDIX!$D:$D,CAPEX_APPENDIX!$E:$E,$A7,CAPEX_APPENDIX!$B:$B,M$5)</f>
        <v/>
      </c>
    </row>
    <row r="8">
      <c r="A8" t="inlineStr">
        <is>
          <t>Equipment</t>
        </is>
      </c>
      <c r="B8" t="n">
        <v>1</v>
      </c>
      <c r="C8" t="n">
        <v>7</v>
      </c>
      <c r="D8">
        <f>SUMIFS(CAPEX_APPENDIX!$D:$D,CAPEX_APPENDIX!$E:$E,$A8,CAPEX_APPENDIX!$B:$B,D$5)</f>
        <v/>
      </c>
      <c r="E8">
        <f>SUMIFS(CAPEX_APPENDIX!$D:$D,CAPEX_APPENDIX!$E:$E,$A8,CAPEX_APPENDIX!$B:$B,E$5)</f>
        <v/>
      </c>
      <c r="F8">
        <f>SUMIFS(CAPEX_APPENDIX!$D:$D,CAPEX_APPENDIX!$E:$E,$A8,CAPEX_APPENDIX!$B:$B,F$5)</f>
        <v/>
      </c>
      <c r="G8">
        <f>SUMIFS(CAPEX_APPENDIX!$D:$D,CAPEX_APPENDIX!$E:$E,$A8,CAPEX_APPENDIX!$B:$B,G$5)</f>
        <v/>
      </c>
      <c r="H8">
        <f>SUMIFS(CAPEX_APPENDIX!$D:$D,CAPEX_APPENDIX!$E:$E,$A8,CAPEX_APPENDIX!$B:$B,H$5)</f>
        <v/>
      </c>
      <c r="I8">
        <f>SUMIFS(CAPEX_APPENDIX!$D:$D,CAPEX_APPENDIX!$E:$E,$A8,CAPEX_APPENDIX!$B:$B,I$5)</f>
        <v/>
      </c>
      <c r="J8">
        <f>SUMIFS(CAPEX_APPENDIX!$D:$D,CAPEX_APPENDIX!$E:$E,$A8,CAPEX_APPENDIX!$B:$B,J$5)</f>
        <v/>
      </c>
      <c r="K8">
        <f>SUMIFS(CAPEX_APPENDIX!$D:$D,CAPEX_APPENDIX!$E:$E,$A8,CAPEX_APPENDIX!$B:$B,K$5)</f>
        <v/>
      </c>
      <c r="L8">
        <f>SUMIFS(CAPEX_APPENDIX!$D:$D,CAPEX_APPENDIX!$E:$E,$A8,CAPEX_APPENDIX!$B:$B,L$5)</f>
        <v/>
      </c>
      <c r="M8">
        <f>SUMIFS(CAPEX_APPENDIX!$D:$D,CAPEX_APPENDIX!$E:$E,$A8,CAPEX_APPENDIX!$B:$B,M$5)</f>
        <v/>
      </c>
    </row>
    <row r="9">
      <c r="A9" t="inlineStr">
        <is>
          <t>Breeding Stock</t>
        </is>
      </c>
      <c r="B9" t="n">
        <v>1</v>
      </c>
      <c r="C9" t="n">
        <v>5</v>
      </c>
      <c r="D9">
        <f>SUMIFS(CAPEX_APPENDIX!$D:$D,CAPEX_APPENDIX!$E:$E,$A9,CAPEX_APPENDIX!$B:$B,D$5)</f>
        <v/>
      </c>
      <c r="E9">
        <f>SUMIFS(CAPEX_APPENDIX!$D:$D,CAPEX_APPENDIX!$E:$E,$A9,CAPEX_APPENDIX!$B:$B,E$5)</f>
        <v/>
      </c>
      <c r="F9">
        <f>SUMIFS(CAPEX_APPENDIX!$D:$D,CAPEX_APPENDIX!$E:$E,$A9,CAPEX_APPENDIX!$B:$B,F$5)</f>
        <v/>
      </c>
      <c r="G9">
        <f>SUMIFS(CAPEX_APPENDIX!$D:$D,CAPEX_APPENDIX!$E:$E,$A9,CAPEX_APPENDIX!$B:$B,G$5)</f>
        <v/>
      </c>
      <c r="H9">
        <f>SUMIFS(CAPEX_APPENDIX!$D:$D,CAPEX_APPENDIX!$E:$E,$A9,CAPEX_APPENDIX!$B:$B,H$5)</f>
        <v/>
      </c>
      <c r="I9">
        <f>SUMIFS(CAPEX_APPENDIX!$D:$D,CAPEX_APPENDIX!$E:$E,$A9,CAPEX_APPENDIX!$B:$B,I$5)</f>
        <v/>
      </c>
      <c r="J9">
        <f>SUMIFS(CAPEX_APPENDIX!$D:$D,CAPEX_APPENDIX!$E:$E,$A9,CAPEX_APPENDIX!$B:$B,J$5)</f>
        <v/>
      </c>
      <c r="K9">
        <f>SUMIFS(CAPEX_APPENDIX!$D:$D,CAPEX_APPENDIX!$E:$E,$A9,CAPEX_APPENDIX!$B:$B,K$5)</f>
        <v/>
      </c>
      <c r="L9">
        <f>SUMIFS(CAPEX_APPENDIX!$D:$D,CAPEX_APPENDIX!$E:$E,$A9,CAPEX_APPENDIX!$B:$B,L$5)</f>
        <v/>
      </c>
      <c r="M9">
        <f>SUMIFS(CAPEX_APPENDIX!$D:$D,CAPEX_APPENDIX!$E:$E,$A9,CAPEX_APPENDIX!$B:$B,M$5)</f>
        <v/>
      </c>
    </row>
    <row r="10">
      <c r="A10" t="inlineStr">
        <is>
          <t>Other</t>
        </is>
      </c>
      <c r="B10" t="n">
        <v>1</v>
      </c>
      <c r="C10" t="n">
        <v>10</v>
      </c>
      <c r="D10">
        <f>SUMIFS(CAPEX_APPENDIX!$D:$D,CAPEX_APPENDIX!$E:$E,$A10,CAPEX_APPENDIX!$B:$B,D$5)</f>
        <v/>
      </c>
      <c r="E10">
        <f>SUMIFS(CAPEX_APPENDIX!$D:$D,CAPEX_APPENDIX!$E:$E,$A10,CAPEX_APPENDIX!$B:$B,E$5)</f>
        <v/>
      </c>
      <c r="F10">
        <f>SUMIFS(CAPEX_APPENDIX!$D:$D,CAPEX_APPENDIX!$E:$E,$A10,CAPEX_APPENDIX!$B:$B,F$5)</f>
        <v/>
      </c>
      <c r="G10">
        <f>SUMIFS(CAPEX_APPENDIX!$D:$D,CAPEX_APPENDIX!$E:$E,$A10,CAPEX_APPENDIX!$B:$B,G$5)</f>
        <v/>
      </c>
      <c r="H10">
        <f>SUMIFS(CAPEX_APPENDIX!$D:$D,CAPEX_APPENDIX!$E:$E,$A10,CAPEX_APPENDIX!$B:$B,H$5)</f>
        <v/>
      </c>
      <c r="I10">
        <f>SUMIFS(CAPEX_APPENDIX!$D:$D,CAPEX_APPENDIX!$E:$E,$A10,CAPEX_APPENDIX!$B:$B,I$5)</f>
        <v/>
      </c>
      <c r="J10">
        <f>SUMIFS(CAPEX_APPENDIX!$D:$D,CAPEX_APPENDIX!$E:$E,$A10,CAPEX_APPENDIX!$B:$B,J$5)</f>
        <v/>
      </c>
      <c r="K10">
        <f>SUMIFS(CAPEX_APPENDIX!$D:$D,CAPEX_APPENDIX!$E:$E,$A10,CAPEX_APPENDIX!$B:$B,K$5)</f>
        <v/>
      </c>
      <c r="L10">
        <f>SUMIFS(CAPEX_APPENDIX!$D:$D,CAPEX_APPENDIX!$E:$E,$A10,CAPEX_APPENDIX!$B:$B,L$5)</f>
        <v/>
      </c>
      <c r="M10">
        <f>SUMIFS(CAPEX_APPENDIX!$D:$D,CAPEX_APPENDIX!$E:$E,$A10,CAPEX_APPENDIX!$B:$B,M$5)</f>
        <v/>
      </c>
    </row>
    <row r="11">
      <c r="A11" t="inlineStr">
        <is>
          <t>Total CAPEX</t>
        </is>
      </c>
      <c r="D11">
        <f>SUM(D6:D10)</f>
        <v/>
      </c>
      <c r="E11">
        <f>SUM(E6:E10)</f>
        <v/>
      </c>
      <c r="F11">
        <f>SUM(F6:F10)</f>
        <v/>
      </c>
      <c r="G11">
        <f>SUM(G6:G10)</f>
        <v/>
      </c>
      <c r="H11">
        <f>SUM(H6:H10)</f>
        <v/>
      </c>
      <c r="I11">
        <f>SUM(I6:I10)</f>
        <v/>
      </c>
      <c r="J11">
        <f>SUM(J6:J10)</f>
        <v/>
      </c>
      <c r="K11">
        <f>SUM(K6:K10)</f>
        <v/>
      </c>
      <c r="L11">
        <f>SUM(L6:L10)</f>
        <v/>
      </c>
      <c r="M11">
        <f>SUM(M6:M10)</f>
        <v/>
      </c>
    </row>
    <row r="13">
      <c r="A13" t="inlineStr">
        <is>
          <t>Depreciation</t>
        </is>
      </c>
      <c r="D13">
        <f>IFERROR(IF($B$7=1,SUM(OFFSET(D7,0,-MIN($C$7-1,0),1,MIN($C$7,1)))/$C$7,0)+IF($B$8=1,SUM(OFFSET(D8,0,-MIN($C$8-1,0),1,MIN($C$8,1)))/$C$8,0)+IF($B$9=1,SUM(OFFSET(D9,0,-MIN($C$9-1,0),1,MIN($C$9,1)))/$C$9,0)+IF($B$10=1,SUM(OFFSET(D10,0,-MIN($C$10-1,0),1,MIN($C$10,1)))/$C$10,0),"")</f>
        <v/>
      </c>
      <c r="E13">
        <f>IFERROR(IF($B$7=1,SUM(OFFSET(E7,0,-MIN($C$7-1,1),1,MIN($C$7,2)))/$C$7,0)+IF($B$8=1,SUM(OFFSET(E8,0,-MIN($C$8-1,1),1,MIN($C$8,2)))/$C$8,0)+IF($B$9=1,SUM(OFFSET(E9,0,-MIN($C$9-1,1),1,MIN($C$9,2)))/$C$9,0)+IF($B$10=1,SUM(OFFSET(E10,0,-MIN($C$10-1,1),1,MIN($C$10,2)))/$C$10,0),"")</f>
        <v/>
      </c>
      <c r="F13">
        <f>IFERROR(IF($B$7=1,SUM(OFFSET(F7,0,-MIN($C$7-1,2),1,MIN($C$7,3)))/$C$7,0)+IF($B$8=1,SUM(OFFSET(F8,0,-MIN($C$8-1,2),1,MIN($C$8,3)))/$C$8,0)+IF($B$9=1,SUM(OFFSET(F9,0,-MIN($C$9-1,2),1,MIN($C$9,3)))/$C$9,0)+IF($B$10=1,SUM(OFFSET(F10,0,-MIN($C$10-1,2),1,MIN($C$10,3)))/$C$10,0),"")</f>
        <v/>
      </c>
      <c r="G13">
        <f>IFERROR(IF($B$7=1,SUM(OFFSET(G7,0,-MIN($C$7-1,3),1,MIN($C$7,4)))/$C$7,0)+IF($B$8=1,SUM(OFFSET(G8,0,-MIN($C$8-1,3),1,MIN($C$8,4)))/$C$8,0)+IF($B$9=1,SUM(OFFSET(G9,0,-MIN($C$9-1,3),1,MIN($C$9,4)))/$C$9,0)+IF($B$10=1,SUM(OFFSET(G10,0,-MIN($C$10-1,3),1,MIN($C$10,4)))/$C$10,0),"")</f>
        <v/>
      </c>
      <c r="H13">
        <f>IFERROR(IF($B$7=1,SUM(OFFSET(H7,0,-MIN($C$7-1,4),1,MIN($C$7,5)))/$C$7,0)+IF($B$8=1,SUM(OFFSET(H8,0,-MIN($C$8-1,4),1,MIN($C$8,5)))/$C$8,0)+IF($B$9=1,SUM(OFFSET(H9,0,-MIN($C$9-1,4),1,MIN($C$9,5)))/$C$9,0)+IF($B$10=1,SUM(OFFSET(H10,0,-MIN($C$10-1,4),1,MIN($C$10,5)))/$C$10,0),"")</f>
        <v/>
      </c>
      <c r="I13">
        <f>IFERROR(IF($B$7=1,SUM(OFFSET(I7,0,-MIN($C$7-1,5),1,MIN($C$7,6)))/$C$7,0)+IF($B$8=1,SUM(OFFSET(I8,0,-MIN($C$8-1,5),1,MIN($C$8,6)))/$C$8,0)+IF($B$9=1,SUM(OFFSET(I9,0,-MIN($C$9-1,5),1,MIN($C$9,6)))/$C$9,0)+IF($B$10=1,SUM(OFFSET(I10,0,-MIN($C$10-1,5),1,MIN($C$10,6)))/$C$10,0),"")</f>
        <v/>
      </c>
      <c r="J13">
        <f>IFERROR(IF($B$7=1,SUM(OFFSET(J7,0,-MIN($C$7-1,6),1,MIN($C$7,7)))/$C$7,0)+IF($B$8=1,SUM(OFFSET(J8,0,-MIN($C$8-1,6),1,MIN($C$8,7)))/$C$8,0)+IF($B$9=1,SUM(OFFSET(J9,0,-MIN($C$9-1,6),1,MIN($C$9,7)))/$C$9,0)+IF($B$10=1,SUM(OFFSET(J10,0,-MIN($C$10-1,6),1,MIN($C$10,7)))/$C$10,0),"")</f>
        <v/>
      </c>
      <c r="K13">
        <f>IFERROR(IF($B$7=1,SUM(OFFSET(K7,0,-MIN($C$7-1,7),1,MIN($C$7,8)))/$C$7,0)+IF($B$8=1,SUM(OFFSET(K8,0,-MIN($C$8-1,7),1,MIN($C$8,8)))/$C$8,0)+IF($B$9=1,SUM(OFFSET(K9,0,-MIN($C$9-1,7),1,MIN($C$9,8)))/$C$9,0)+IF($B$10=1,SUM(OFFSET(K10,0,-MIN($C$10-1,7),1,MIN($C$10,8)))/$C$10,0),"")</f>
        <v/>
      </c>
      <c r="L13">
        <f>IFERROR(IF($B$7=1,SUM(OFFSET(L7,0,-MIN($C$7-1,8),1,MIN($C$7,9)))/$C$7,0)+IF($B$8=1,SUM(OFFSET(L8,0,-MIN($C$8-1,8),1,MIN($C$8,9)))/$C$8,0)+IF($B$9=1,SUM(OFFSET(L9,0,-MIN($C$9-1,8),1,MIN($C$9,9)))/$C$9,0)+IF($B$10=1,SUM(OFFSET(L10,0,-MIN($C$10-1,8),1,MIN($C$10,9)))/$C$10,0),"")</f>
        <v/>
      </c>
      <c r="M13">
        <f>IFERROR(IF($B$7=1,SUM(OFFSET(M7,0,-MIN($C$7-1,9),1,MIN($C$7,10)))/$C$7,0)+IF($B$8=1,SUM(OFFSET(M8,0,-MIN($C$8-1,9),1,MIN($C$8,10)))/$C$8,0)+IF($B$9=1,SUM(OFFSET(M9,0,-MIN($C$9-1,9),1,MIN($C$9,10)))/$C$9,0)+IF($B$10=1,SUM(OFFSET(M10,0,-MIN($C$10-1,9),1,MIN($C$10,10)))/$C$10,0),"")</f>
        <v/>
      </c>
    </row>
    <row r="15">
      <c r="A15" t="inlineStr">
        <is>
          <t>Net_PPE</t>
        </is>
      </c>
      <c r="D15">
        <f>IFERROR(D11-D13,"")</f>
        <v/>
      </c>
      <c r="E15">
        <f>IFERROR(D15+E11-E13,"")</f>
        <v/>
      </c>
      <c r="F15">
        <f>IFERROR(E15+F11-F13,"")</f>
        <v/>
      </c>
      <c r="G15">
        <f>IFERROR(F15+G11-G13,"")</f>
        <v/>
      </c>
      <c r="H15">
        <f>IFERROR(G15+H11-H13,"")</f>
        <v/>
      </c>
      <c r="I15">
        <f>IFERROR(H15+I11-I13,"")</f>
        <v/>
      </c>
      <c r="J15">
        <f>IFERROR(I15+J11-J13,"")</f>
        <v/>
      </c>
      <c r="K15">
        <f>IFERROR(J15+K11-K13,"")</f>
        <v/>
      </c>
      <c r="L15">
        <f>IFERROR(K15+L11-L13,"")</f>
        <v/>
      </c>
      <c r="M15">
        <f>IFERROR(L15+M11-M13,"")</f>
        <v/>
      </c>
    </row>
    <row r="17">
      <c r="A17" t="inlineStr">
        <is>
          <t>Version 2 Restructuring Notes</t>
        </is>
      </c>
    </row>
    <row r="18">
      <c r="A18" t="inlineStr">
        <is>
          <t>Total CAPEX</t>
        </is>
      </c>
      <c r="B18" t="inlineStr">
        <is>
          <t>Target</t>
        </is>
      </c>
      <c r="C18" t="inlineStr">
        <is>
          <t>~NGN 1.758bn</t>
        </is>
      </c>
      <c r="D18" t="inlineStr">
        <is>
          <t>Active funding profile incl. land</t>
        </is>
      </c>
    </row>
    <row r="19">
      <c r="A19" t="inlineStr">
        <is>
          <t>Beef processing line</t>
        </is>
      </c>
      <c r="B19" t="inlineStr">
        <is>
          <t>Deferred</t>
        </is>
      </c>
      <c r="C19" t="inlineStr">
        <is>
          <t>Outside active CAPEX</t>
        </is>
      </c>
      <c r="D19" t="inlineStr">
        <is>
          <t>Revisit only when internally funded</t>
        </is>
      </c>
    </row>
    <row r="20">
      <c r="A20" t="inlineStr">
        <is>
          <t>Milk processing</t>
        </is>
      </c>
      <c r="B20" t="inlineStr">
        <is>
          <t>Reduced/staged</t>
        </is>
      </c>
      <c r="C20" t="inlineStr">
        <is>
          <t>NGN 150m</t>
        </is>
      </c>
      <c r="D20" t="inlineStr">
        <is>
          <t>Mini processing line</t>
        </is>
      </c>
    </row>
    <row r="21">
      <c r="A21" t="inlineStr">
        <is>
          <t>Solar</t>
        </is>
      </c>
      <c r="B21" t="inlineStr">
        <is>
          <t>Reduced/staged</t>
        </is>
      </c>
      <c r="C21" t="inlineStr">
        <is>
          <t>NGN 75m</t>
        </is>
      </c>
      <c r="D21" t="inlineStr">
        <is>
          <t>150kva solar system</t>
        </is>
      </c>
    </row>
    <row r="22">
      <c r="A22" t="inlineStr">
        <is>
          <t>Automation/replacement</t>
        </is>
      </c>
      <c r="B22" t="inlineStr">
        <is>
          <t>Reduced/staged</t>
        </is>
      </c>
      <c r="C22" t="inlineStr">
        <is>
          <t>NGN 75m</t>
        </is>
      </c>
      <c r="D22" t="inlineStr">
        <is>
          <t>Year 7 upgrade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M2"/>
    <mergeCell ref="A1:M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56"/>
  <sheetViews>
    <sheetView showGridLines="0" topLeftCell="A1" workbookViewId="0">
      <selection activeCell="A1" sqref="A1"/>
    </sheetView>
  </sheetViews>
  <sheetFormatPr baseColWidth="8" defaultRowHeight="15"/>
  <cols>
    <col width="30" customWidth="1" style="239" min="1" max="1"/>
    <col width="18" customWidth="1" style="239" min="2" max="2"/>
    <col width="18" customWidth="1" style="239" min="3" max="3"/>
    <col width="18" customWidth="1" style="239" min="4" max="4"/>
    <col width="18" customWidth="1" style="239" min="5" max="5"/>
    <col width="18" customWidth="1" style="239" min="6" max="6"/>
    <col width="18" customWidth="1" style="239" min="7" max="7"/>
    <col width="18" customWidth="1" style="239" min="8" max="8"/>
    <col width="18" customWidth="1" style="239" min="9" max="9"/>
    <col width="18" customWidth="1" style="239" min="10" max="10"/>
  </cols>
  <sheetData>
    <row r="1">
      <c r="A1" s="396" t="inlineStr">
        <is>
          <t>CAPEX Appendix - BOA Version 2 Reduced / Staged Profile</t>
        </is>
      </c>
    </row>
    <row r="2">
      <c r="A2" s="397" t="inlineStr">
        <is>
          <t>Only active CAPEX line items are retained. Non-CAPEX dashboard/readme/OPEX/scenario/debt tables removed.</t>
        </is>
      </c>
    </row>
    <row r="4">
      <c r="A4" s="398" t="inlineStr">
        <is>
          <t>Phase</t>
        </is>
      </c>
      <c r="B4" s="398" t="inlineStr">
        <is>
          <t>Year</t>
        </is>
      </c>
      <c r="C4" s="398" t="inlineStr">
        <is>
          <t>Item</t>
        </is>
      </c>
      <c r="D4" s="398" t="inlineStr">
        <is>
          <t>Amount (NGN)</t>
        </is>
      </c>
      <c r="E4" s="398" t="inlineStr">
        <is>
          <t>Asset Class</t>
        </is>
      </c>
      <c r="F4" s="398" t="inlineStr">
        <is>
          <t>Notes</t>
        </is>
      </c>
    </row>
    <row r="5">
      <c r="A5" t="n">
        <v>1</v>
      </c>
      <c r="B5" t="n">
        <v>1</v>
      </c>
      <c r="C5" t="inlineStr">
        <is>
          <t>Land - 120 acres</t>
        </is>
      </c>
      <c r="D5" t="n">
        <v>60000000</v>
      </c>
      <c r="E5" t="inlineStr">
        <is>
          <t>Land</t>
        </is>
      </c>
      <c r="F5" t="inlineStr">
        <is>
          <t>Sponsor land equity</t>
        </is>
      </c>
    </row>
    <row r="6">
      <c r="A6" t="n">
        <v>1</v>
      </c>
      <c r="B6" t="n">
        <v>1</v>
      </c>
      <c r="C6" t="inlineStr">
        <is>
          <t>Security posts</t>
        </is>
      </c>
      <c r="D6" t="n">
        <v>4800000</v>
      </c>
      <c r="E6" t="inlineStr">
        <is>
          <t>Buildings</t>
        </is>
      </c>
    </row>
    <row r="7">
      <c r="A7" t="n">
        <v>1</v>
      </c>
      <c r="B7" t="n">
        <v>1</v>
      </c>
      <c r="C7" t="inlineStr">
        <is>
          <t>Storage container 40ft x 1</t>
        </is>
      </c>
      <c r="D7" t="n">
        <v>5000000</v>
      </c>
      <c r="E7" t="inlineStr">
        <is>
          <t>Buildings</t>
        </is>
      </c>
    </row>
    <row r="8">
      <c r="A8" t="n">
        <v>1</v>
      </c>
      <c r="B8" t="n">
        <v>1</v>
      </c>
      <c r="C8" t="inlineStr">
        <is>
          <t>Storage container 20ft x 2</t>
        </is>
      </c>
      <c r="D8" t="n">
        <v>5000000</v>
      </c>
      <c r="E8" t="inlineStr">
        <is>
          <t>Buildings</t>
        </is>
      </c>
    </row>
    <row r="9">
      <c r="A9" t="n">
        <v>1</v>
      </c>
      <c r="B9" t="n">
        <v>1</v>
      </c>
      <c r="C9" t="inlineStr">
        <is>
          <t>Dairy core wall fence, guardhouse and gate</t>
        </is>
      </c>
      <c r="D9" t="n">
        <v>39908100</v>
      </c>
      <c r="E9" t="inlineStr">
        <is>
          <t>Buildings</t>
        </is>
      </c>
    </row>
    <row r="10">
      <c r="A10" t="n">
        <v>1</v>
      </c>
      <c r="B10" t="n">
        <v>1</v>
      </c>
      <c r="C10" t="inlineStr">
        <is>
          <t>Cow barn</t>
        </is>
      </c>
      <c r="D10" t="n">
        <v>30000000</v>
      </c>
      <c r="E10" t="inlineStr">
        <is>
          <t>Buildings</t>
        </is>
      </c>
    </row>
    <row r="11">
      <c r="A11" t="n">
        <v>1</v>
      </c>
      <c r="B11" t="n">
        <v>1</v>
      </c>
      <c r="C11" t="inlineStr">
        <is>
          <t>Silage bunker</t>
        </is>
      </c>
      <c r="D11" t="n">
        <v>12000000</v>
      </c>
      <c r="E11" t="inlineStr">
        <is>
          <t>Buildings</t>
        </is>
      </c>
    </row>
    <row r="12">
      <c r="A12" t="n">
        <v>1</v>
      </c>
      <c r="B12" t="n">
        <v>1</v>
      </c>
      <c r="C12" t="inlineStr">
        <is>
          <t>Utilities infrastructure</t>
        </is>
      </c>
      <c r="D12" t="n">
        <v>23700000</v>
      </c>
      <c r="E12" t="inlineStr">
        <is>
          <t>Buildings</t>
        </is>
      </c>
    </row>
    <row r="13">
      <c r="A13" t="n">
        <v>1</v>
      </c>
      <c r="B13" t="n">
        <v>1</v>
      </c>
      <c r="C13" t="inlineStr">
        <is>
          <t>CCTV</t>
        </is>
      </c>
      <c r="D13" t="n">
        <v>3000000</v>
      </c>
      <c r="E13" t="inlineStr">
        <is>
          <t>Equipment</t>
        </is>
      </c>
    </row>
    <row r="14">
      <c r="A14" t="n">
        <v>1</v>
      </c>
      <c r="B14" t="n">
        <v>1</v>
      </c>
      <c r="C14" t="inlineStr">
        <is>
          <t>Tractor and plough</t>
        </is>
      </c>
      <c r="D14" t="n">
        <v>35000000</v>
      </c>
      <c r="E14" t="inlineStr">
        <is>
          <t>Equipment</t>
        </is>
      </c>
    </row>
    <row r="15">
      <c r="A15" t="n">
        <v>1</v>
      </c>
      <c r="B15" t="n">
        <v>1</v>
      </c>
      <c r="C15" t="inlineStr">
        <is>
          <t>Silage maker</t>
        </is>
      </c>
      <c r="D15" t="n">
        <v>3500000</v>
      </c>
      <c r="E15" t="inlineStr">
        <is>
          <t>Equipment</t>
        </is>
      </c>
    </row>
    <row r="16">
      <c r="A16" t="n">
        <v>1</v>
      </c>
      <c r="B16" t="n">
        <v>1</v>
      </c>
      <c r="C16" t="inlineStr">
        <is>
          <t>Opening livestock</t>
        </is>
      </c>
      <c r="D16">
        <f>ASSUMPTIONS!D62</f>
        <v/>
      </c>
      <c r="E16" t="inlineStr">
        <is>
          <t>Breeding Stock</t>
        </is>
      </c>
      <c r="F16" t="inlineStr">
        <is>
          <t>80 cows, breeding bulls and fattening bulls</t>
        </is>
      </c>
    </row>
    <row r="17">
      <c r="A17" t="n">
        <v>1</v>
      </c>
      <c r="B17" t="n">
        <v>1</v>
      </c>
      <c r="C17" t="inlineStr">
        <is>
          <t>Seeds: corn, king grass, alfalfa, soy, sesame</t>
        </is>
      </c>
      <c r="D17" t="n">
        <v>5091900</v>
      </c>
      <c r="E17" t="inlineStr">
        <is>
          <t>Other</t>
        </is>
      </c>
    </row>
    <row r="18">
      <c r="A18" t="n">
        <v>1</v>
      </c>
      <c r="B18" t="n">
        <v>1</v>
      </c>
      <c r="C18" t="inlineStr">
        <is>
          <t>Contingencies 10%</t>
        </is>
      </c>
      <c r="D18" t="n">
        <v>25000000</v>
      </c>
      <c r="E18" t="inlineStr">
        <is>
          <t>Other</t>
        </is>
      </c>
    </row>
    <row r="19">
      <c r="A19" t="n">
        <v>2</v>
      </c>
      <c r="B19" t="n">
        <v>2</v>
      </c>
      <c r="C19" t="inlineStr">
        <is>
          <t>Refrigerated bulk tank 5000 liters</t>
        </is>
      </c>
      <c r="D19" t="n">
        <v>25000000</v>
      </c>
      <c r="E19" t="inlineStr">
        <is>
          <t>Equipment</t>
        </is>
      </c>
    </row>
    <row r="20">
      <c r="A20" t="n">
        <v>2</v>
      </c>
      <c r="B20" t="n">
        <v>2</v>
      </c>
      <c r="C20" t="inlineStr">
        <is>
          <t>Refrigerated milk truck</t>
        </is>
      </c>
      <c r="D20" t="n">
        <v>30000000</v>
      </c>
      <c r="E20" t="inlineStr">
        <is>
          <t>Equipment</t>
        </is>
      </c>
    </row>
    <row r="21">
      <c r="A21" t="n">
        <v>2</v>
      </c>
      <c r="B21" t="n">
        <v>4</v>
      </c>
      <c r="C21" t="inlineStr">
        <is>
          <t>Rotary milk parlor</t>
        </is>
      </c>
      <c r="D21" t="n">
        <v>120000000</v>
      </c>
      <c r="E21" t="inlineStr">
        <is>
          <t>Equipment</t>
        </is>
      </c>
    </row>
    <row r="22">
      <c r="A22" t="n">
        <v>2</v>
      </c>
      <c r="B22" t="n">
        <v>4</v>
      </c>
      <c r="C22" t="inlineStr">
        <is>
          <t>Vet/Reprod/AI barn</t>
        </is>
      </c>
      <c r="D22" t="n">
        <v>25000000</v>
      </c>
      <c r="E22" t="inlineStr">
        <is>
          <t>Buildings</t>
        </is>
      </c>
    </row>
    <row r="23">
      <c r="A23" t="n">
        <v>2</v>
      </c>
      <c r="B23" t="n">
        <v>5</v>
      </c>
      <c r="C23" t="inlineStr">
        <is>
          <t>Chain link and electric fence 120 acre 1</t>
        </is>
      </c>
      <c r="D23" t="n">
        <v>65000000</v>
      </c>
      <c r="E23" t="inlineStr">
        <is>
          <t>Buildings</t>
        </is>
      </c>
    </row>
    <row r="24">
      <c r="A24" t="n">
        <v>2</v>
      </c>
      <c r="B24" t="n">
        <v>5</v>
      </c>
      <c r="C24" t="inlineStr">
        <is>
          <t>Calf barn</t>
        </is>
      </c>
      <c r="D24" t="n">
        <v>30000000</v>
      </c>
      <c r="E24" t="inlineStr">
        <is>
          <t>Buildings</t>
        </is>
      </c>
    </row>
    <row r="25">
      <c r="A25" t="n">
        <v>2</v>
      </c>
      <c r="B25" t="n">
        <v>5</v>
      </c>
      <c r="C25" t="inlineStr">
        <is>
          <t>Heifer and young barn</t>
        </is>
      </c>
      <c r="D25" t="n">
        <v>35000000</v>
      </c>
      <c r="E25" t="inlineStr">
        <is>
          <t>Buildings</t>
        </is>
      </c>
    </row>
    <row r="26">
      <c r="A26" t="n">
        <v>2</v>
      </c>
      <c r="B26" t="n">
        <v>5</v>
      </c>
      <c r="C26" t="inlineStr">
        <is>
          <t>Cow barn</t>
        </is>
      </c>
      <c r="D26" t="n">
        <v>30000000</v>
      </c>
      <c r="E26" t="inlineStr">
        <is>
          <t>Buildings</t>
        </is>
      </c>
    </row>
    <row r="27">
      <c r="A27" t="n">
        <v>2</v>
      </c>
      <c r="B27" t="n">
        <v>5</v>
      </c>
      <c r="C27" t="inlineStr">
        <is>
          <t>Silos/storage containers 40ft x 12</t>
        </is>
      </c>
      <c r="D27" t="n">
        <v>60000000</v>
      </c>
      <c r="E27" t="inlineStr">
        <is>
          <t>Buildings</t>
        </is>
      </c>
    </row>
    <row r="28">
      <c r="A28" t="n">
        <v>2</v>
      </c>
      <c r="B28" t="n">
        <v>5</v>
      </c>
      <c r="C28" t="inlineStr">
        <is>
          <t>Slaughter equipment</t>
        </is>
      </c>
      <c r="D28" t="n">
        <v>2000000</v>
      </c>
      <c r="E28" t="inlineStr">
        <is>
          <t>Equipment</t>
        </is>
      </c>
    </row>
    <row r="29">
      <c r="A29" t="n">
        <v>2</v>
      </c>
      <c r="B29" t="n">
        <v>5</v>
      </c>
      <c r="C29" t="inlineStr">
        <is>
          <t>Refrigerated 20ft container x 2</t>
        </is>
      </c>
      <c r="D29" t="n">
        <v>24000000</v>
      </c>
      <c r="E29" t="inlineStr">
        <is>
          <t>Equipment</t>
        </is>
      </c>
    </row>
    <row r="30">
      <c r="A30" t="n">
        <v>2</v>
      </c>
      <c r="B30" t="n">
        <v>5</v>
      </c>
      <c r="C30" t="inlineStr">
        <is>
          <t>Biodigester</t>
        </is>
      </c>
      <c r="D30" t="n">
        <v>20000000</v>
      </c>
      <c r="E30" t="inlineStr">
        <is>
          <t>Equipment</t>
        </is>
      </c>
    </row>
    <row r="31">
      <c r="A31" t="n">
        <v>2</v>
      </c>
      <c r="B31" t="n">
        <v>5</v>
      </c>
      <c r="C31" t="inlineStr">
        <is>
          <t>Manure lagoon</t>
        </is>
      </c>
      <c r="D31" t="n">
        <v>35000000</v>
      </c>
      <c r="E31" t="inlineStr">
        <is>
          <t>Buildings</t>
        </is>
      </c>
    </row>
    <row r="32">
      <c r="A32" t="n">
        <v>2</v>
      </c>
      <c r="B32" t="n">
        <v>5</v>
      </c>
      <c r="C32" t="inlineStr">
        <is>
          <t>Manure truck</t>
        </is>
      </c>
      <c r="D32" t="n">
        <v>30000000</v>
      </c>
      <c r="E32" t="inlineStr">
        <is>
          <t>Equipment</t>
        </is>
      </c>
    </row>
    <row r="33">
      <c r="A33" t="n">
        <v>2</v>
      </c>
      <c r="B33" t="n">
        <v>5</v>
      </c>
      <c r="C33" t="inlineStr">
        <is>
          <t>Operations vehicle 4x4</t>
        </is>
      </c>
      <c r="D33" t="n">
        <v>35000000</v>
      </c>
      <c r="E33" t="inlineStr">
        <is>
          <t>Equipment</t>
        </is>
      </c>
    </row>
    <row r="34">
      <c r="A34" t="n">
        <v>2</v>
      </c>
      <c r="B34" t="n">
        <v>5</v>
      </c>
      <c r="C34" t="inlineStr">
        <is>
          <t>100kva biogas generator</t>
        </is>
      </c>
      <c r="D34" t="n">
        <v>30000000</v>
      </c>
      <c r="E34" t="inlineStr">
        <is>
          <t>Equipment</t>
        </is>
      </c>
    </row>
    <row r="35">
      <c r="A35" t="n">
        <v>2</v>
      </c>
      <c r="B35" t="n">
        <v>5</v>
      </c>
      <c r="C35" t="inlineStr">
        <is>
          <t>100kva diesel generator</t>
        </is>
      </c>
      <c r="D35" t="n">
        <v>10000000</v>
      </c>
      <c r="E35" t="inlineStr">
        <is>
          <t>Equipment</t>
        </is>
      </c>
    </row>
    <row r="36">
      <c r="A36" t="n">
        <v>2</v>
      </c>
      <c r="B36" t="n">
        <v>5</v>
      </c>
      <c r="C36" t="inlineStr">
        <is>
          <t>Herd management system</t>
        </is>
      </c>
      <c r="D36" t="n">
        <v>20000000</v>
      </c>
      <c r="E36" t="inlineStr">
        <is>
          <t>Equipment</t>
        </is>
      </c>
    </row>
    <row r="37">
      <c r="A37" t="n">
        <v>2</v>
      </c>
      <c r="B37" t="n">
        <v>6</v>
      </c>
      <c r="C37" t="inlineStr">
        <is>
          <t>Chain link and electric fence 120 acre 2</t>
        </is>
      </c>
      <c r="D37" t="n">
        <v>55000000</v>
      </c>
      <c r="E37" t="inlineStr">
        <is>
          <t>Buildings</t>
        </is>
      </c>
    </row>
    <row r="38">
      <c r="A38" t="n">
        <v>2</v>
      </c>
      <c r="B38" t="n">
        <v>6</v>
      </c>
      <c r="C38" t="inlineStr">
        <is>
          <t>Mini milk processing line</t>
        </is>
      </c>
      <c r="D38" t="n">
        <v>150000000</v>
      </c>
      <c r="E38" t="inlineStr">
        <is>
          <t>Equipment</t>
        </is>
      </c>
      <c r="F38" t="inlineStr">
        <is>
          <t>Reduced/staged from prior profile</t>
        </is>
      </c>
    </row>
    <row r="39">
      <c r="A39" t="n">
        <v>2</v>
      </c>
      <c r="B39" t="n">
        <v>6</v>
      </c>
      <c r="C39" t="inlineStr">
        <is>
          <t>150kva solar system</t>
        </is>
      </c>
      <c r="D39" t="n">
        <v>75000000</v>
      </c>
      <c r="E39" t="inlineStr">
        <is>
          <t>Equipment</t>
        </is>
      </c>
      <c r="F39" t="inlineStr">
        <is>
          <t>Reduced/staged from prior profile</t>
        </is>
      </c>
    </row>
    <row r="40">
      <c r="A40" t="n">
        <v>2</v>
      </c>
      <c r="B40" t="n">
        <v>6</v>
      </c>
      <c r="C40" t="inlineStr">
        <is>
          <t>Operations vehicle 4x4</t>
        </is>
      </c>
      <c r="D40" t="n">
        <v>35000000</v>
      </c>
      <c r="E40" t="inlineStr">
        <is>
          <t>Equipment</t>
        </is>
      </c>
    </row>
    <row r="41">
      <c r="A41" t="n">
        <v>2</v>
      </c>
      <c r="B41" t="n">
        <v>6</v>
      </c>
      <c r="C41" t="inlineStr">
        <is>
          <t>Deliveries truck</t>
        </is>
      </c>
      <c r="D41" t="n">
        <v>30000000</v>
      </c>
      <c r="E41" t="inlineStr">
        <is>
          <t>Equipment</t>
        </is>
      </c>
    </row>
    <row r="42">
      <c r="A42" t="n">
        <v>3</v>
      </c>
      <c r="B42" t="n">
        <v>6</v>
      </c>
      <c r="C42" t="inlineStr">
        <is>
          <t>100 acre land purchase</t>
        </is>
      </c>
      <c r="D42" t="n">
        <v>50000000</v>
      </c>
      <c r="E42" t="inlineStr">
        <is>
          <t>Land</t>
        </is>
      </c>
    </row>
    <row r="43">
      <c r="A43" t="n">
        <v>3</v>
      </c>
      <c r="B43" t="n">
        <v>6</v>
      </c>
      <c r="C43" t="inlineStr">
        <is>
          <t>Chain link and electric fence 100 acre</t>
        </is>
      </c>
      <c r="D43" t="n">
        <v>60000000</v>
      </c>
      <c r="E43" t="inlineStr">
        <is>
          <t>Buildings</t>
        </is>
      </c>
    </row>
    <row r="44">
      <c r="A44" t="n">
        <v>2</v>
      </c>
      <c r="B44" t="n">
        <v>6</v>
      </c>
      <c r="C44" t="inlineStr">
        <is>
          <t>Contingency</t>
        </is>
      </c>
      <c r="D44" t="n">
        <v>194329190</v>
      </c>
      <c r="E44" t="inlineStr">
        <is>
          <t>Other</t>
        </is>
      </c>
    </row>
    <row r="45">
      <c r="A45" t="n">
        <v>3</v>
      </c>
      <c r="B45" t="n">
        <v>7</v>
      </c>
      <c r="C45" t="inlineStr">
        <is>
          <t>Replacement, upgrade and automation</t>
        </is>
      </c>
      <c r="D45" t="n">
        <v>75000000</v>
      </c>
      <c r="E45" t="inlineStr">
        <is>
          <t>Equipment</t>
        </is>
      </c>
      <c r="F45" t="inlineStr">
        <is>
          <t>Reduced/staged</t>
        </is>
      </c>
    </row>
    <row r="46">
      <c r="A46" t="n">
        <v>3</v>
      </c>
      <c r="B46" t="n">
        <v>7</v>
      </c>
      <c r="C46" t="inlineStr">
        <is>
          <t>Contingency</t>
        </is>
      </c>
      <c r="D46" t="n">
        <v>72500000</v>
      </c>
      <c r="E46" t="inlineStr">
        <is>
          <t>Other</t>
        </is>
      </c>
    </row>
    <row r="50">
      <c r="A50" s="393" t="inlineStr">
        <is>
          <t>Summary by Phase / Year</t>
        </is>
      </c>
    </row>
    <row r="51">
      <c r="B51" t="n">
        <v>1</v>
      </c>
      <c r="C51" t="n">
        <v>2</v>
      </c>
      <c r="D51" t="n">
        <v>3</v>
      </c>
      <c r="E51" t="n">
        <v>4</v>
      </c>
      <c r="F51" t="n">
        <v>5</v>
      </c>
      <c r="G51" t="n">
        <v>6</v>
      </c>
      <c r="H51" t="n">
        <v>7</v>
      </c>
      <c r="I51" t="n">
        <v>8</v>
      </c>
      <c r="J51" t="n">
        <v>9</v>
      </c>
      <c r="K51" t="n">
        <v>10</v>
      </c>
    </row>
    <row r="52">
      <c r="A52" t="inlineStr">
        <is>
          <t>Phase 1</t>
        </is>
      </c>
      <c r="B52">
        <f>SUMIFS($D:$D,$A:$A,1,$B:$B,B$51)</f>
        <v/>
      </c>
      <c r="C52">
        <f>SUMIFS($D:$D,$A:$A,1,$B:$B,C$51)</f>
        <v/>
      </c>
      <c r="D52">
        <f>SUMIFS($D:$D,$A:$A,1,$B:$B,D$51)</f>
        <v/>
      </c>
      <c r="E52">
        <f>SUMIFS($D:$D,$A:$A,1,$B:$B,E$51)</f>
        <v/>
      </c>
      <c r="F52">
        <f>SUMIFS($D:$D,$A:$A,1,$B:$B,F$51)</f>
        <v/>
      </c>
      <c r="G52">
        <f>SUMIFS($D:$D,$A:$A,1,$B:$B,G$51)</f>
        <v/>
      </c>
      <c r="H52">
        <f>SUMIFS($D:$D,$A:$A,1,$B:$B,H$51)</f>
        <v/>
      </c>
      <c r="I52">
        <f>SUMIFS($D:$D,$A:$A,1,$B:$B,I$51)</f>
        <v/>
      </c>
      <c r="J52">
        <f>SUMIFS($D:$D,$A:$A,1,$B:$B,J$51)</f>
        <v/>
      </c>
      <c r="K52">
        <f>SUMIFS($D:$D,$A:$A,1,$B:$B,K$51)</f>
        <v/>
      </c>
    </row>
    <row r="53">
      <c r="A53" t="inlineStr">
        <is>
          <t>Phase 2</t>
        </is>
      </c>
      <c r="B53">
        <f>SUMIFS($D:$D,$A:$A,2,$B:$B,B$51)</f>
        <v/>
      </c>
      <c r="C53">
        <f>SUMIFS($D:$D,$A:$A,2,$B:$B,C$51)</f>
        <v/>
      </c>
      <c r="D53">
        <f>SUMIFS($D:$D,$A:$A,2,$B:$B,D$51)</f>
        <v/>
      </c>
      <c r="E53">
        <f>SUMIFS($D:$D,$A:$A,2,$B:$B,E$51)</f>
        <v/>
      </c>
      <c r="F53">
        <f>SUMIFS($D:$D,$A:$A,2,$B:$B,F$51)</f>
        <v/>
      </c>
      <c r="G53">
        <f>SUMIFS($D:$D,$A:$A,2,$B:$B,G$51)</f>
        <v/>
      </c>
      <c r="H53">
        <f>SUMIFS($D:$D,$A:$A,2,$B:$B,H$51)</f>
        <v/>
      </c>
      <c r="I53">
        <f>SUMIFS($D:$D,$A:$A,2,$B:$B,I$51)</f>
        <v/>
      </c>
      <c r="J53">
        <f>SUMIFS($D:$D,$A:$A,2,$B:$B,J$51)</f>
        <v/>
      </c>
      <c r="K53">
        <f>SUMIFS($D:$D,$A:$A,2,$B:$B,K$51)</f>
        <v/>
      </c>
    </row>
    <row r="54">
      <c r="A54" t="inlineStr">
        <is>
          <t>Phase 3</t>
        </is>
      </c>
      <c r="B54">
        <f>SUMIFS($D:$D,$A:$A,3,$B:$B,B$51)</f>
        <v/>
      </c>
      <c r="C54">
        <f>SUMIFS($D:$D,$A:$A,3,$B:$B,C$51)</f>
        <v/>
      </c>
      <c r="D54">
        <f>SUMIFS($D:$D,$A:$A,3,$B:$B,D$51)</f>
        <v/>
      </c>
      <c r="E54">
        <f>SUMIFS($D:$D,$A:$A,3,$B:$B,E$51)</f>
        <v/>
      </c>
      <c r="F54">
        <f>SUMIFS($D:$D,$A:$A,3,$B:$B,F$51)</f>
        <v/>
      </c>
      <c r="G54">
        <f>SUMIFS($D:$D,$A:$A,3,$B:$B,G$51)</f>
        <v/>
      </c>
      <c r="H54">
        <f>SUMIFS($D:$D,$A:$A,3,$B:$B,H$51)</f>
        <v/>
      </c>
      <c r="I54">
        <f>SUMIFS($D:$D,$A:$A,3,$B:$B,I$51)</f>
        <v/>
      </c>
      <c r="J54">
        <f>SUMIFS($D:$D,$A:$A,3,$B:$B,J$51)</f>
        <v/>
      </c>
      <c r="K54">
        <f>SUMIFS($D:$D,$A:$A,3,$B:$B,K$51)</f>
        <v/>
      </c>
    </row>
    <row r="55">
      <c r="A55" t="inlineStr">
        <is>
          <t>Total CAPEX</t>
        </is>
      </c>
      <c r="B55">
        <f>SUM(B52:B54)</f>
        <v/>
      </c>
      <c r="C55">
        <f>SUM(C52:C54)</f>
        <v/>
      </c>
      <c r="D55">
        <f>SUM(D52:D54)</f>
        <v/>
      </c>
      <c r="E55">
        <f>SUM(E52:E54)</f>
        <v/>
      </c>
      <c r="F55">
        <f>SUM(F52:F54)</f>
        <v/>
      </c>
      <c r="G55">
        <f>SUM(G52:G54)</f>
        <v/>
      </c>
      <c r="H55">
        <f>SUM(H52:H54)</f>
        <v/>
      </c>
      <c r="I55">
        <f>SUM(I52:I54)</f>
        <v/>
      </c>
      <c r="J55">
        <f>SUM(J52:J54)</f>
        <v/>
      </c>
      <c r="K55">
        <f>SUM(K52:K54)</f>
        <v/>
      </c>
    </row>
    <row r="56">
      <c r="A56" t="inlineStr">
        <is>
          <t>Total Project Funding</t>
        </is>
      </c>
      <c r="B56">
        <f>SUM(B55:K55)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93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N1"/>
    </sheetView>
  </sheetViews>
  <sheetFormatPr baseColWidth="10" defaultColWidth="8.83203125" defaultRowHeight="15"/>
  <cols>
    <col width="30" customWidth="1" style="239" min="1" max="1"/>
    <col width="14" customWidth="1" style="239" min="2" max="14"/>
  </cols>
  <sheetData>
    <row r="1">
      <c r="A1" s="252" t="inlineStr">
        <is>
          <t>Funding And Debt Schedule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0" t="n"/>
      <c r="L1" s="250" t="n"/>
      <c r="M1" s="250" t="n"/>
      <c r="N1" s="251" t="n"/>
    </row>
    <row r="2">
      <c r="A2" s="249" t="inlineStr">
        <is>
          <t>Sources &amp; uses, BOA loan terms, moratorium interest, principal schedule, and DSCR logic.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0" t="n"/>
      <c r="L2" s="250" t="n"/>
      <c r="M2" s="250" t="n"/>
      <c r="N2" s="251" t="n"/>
    </row>
    <row r="3">
      <c r="A3" s="241" t="n"/>
      <c r="B3" s="241" t="n"/>
      <c r="C3" s="241" t="n"/>
      <c r="D3" s="241" t="n"/>
      <c r="E3" s="241" t="n"/>
      <c r="F3" s="241" t="n"/>
      <c r="G3" s="241" t="n"/>
      <c r="H3" s="241" t="n"/>
      <c r="I3" s="241" t="n"/>
      <c r="J3" s="241" t="n"/>
      <c r="K3" s="241" t="n"/>
      <c r="L3" s="241" t="n"/>
      <c r="M3" s="241" t="n"/>
      <c r="N3" s="241" t="n"/>
    </row>
    <row r="4" ht="16" customHeight="1" s="239">
      <c r="A4" s="141" t="inlineStr">
        <is>
          <t>Sources And Uses</t>
        </is>
      </c>
      <c r="B4" s="142" t="n"/>
      <c r="C4" s="142" t="n"/>
      <c r="D4" s="142" t="n"/>
      <c r="E4" s="142" t="n"/>
      <c r="F4" s="142" t="n"/>
      <c r="G4" s="142" t="n"/>
      <c r="H4" s="142" t="n"/>
      <c r="I4" s="142" t="n"/>
      <c r="J4" s="142" t="n"/>
      <c r="K4" s="142" t="n"/>
      <c r="L4" s="142" t="n"/>
      <c r="M4" s="142" t="n"/>
      <c r="N4" s="142" t="n"/>
    </row>
    <row r="5" ht="16" customHeight="1" s="239">
      <c r="A5" s="173" t="inlineStr">
        <is>
          <t>AGBAKU – Sources &amp; Uses of Funds</t>
        </is>
      </c>
      <c r="B5" s="241" t="n"/>
      <c r="C5" s="241" t="n"/>
      <c r="D5" s="241" t="n"/>
      <c r="E5" s="241" t="n"/>
      <c r="F5" s="241" t="n"/>
      <c r="G5" s="241" t="n"/>
      <c r="H5" s="241" t="n"/>
      <c r="I5" s="241" t="n"/>
      <c r="J5" s="241" t="n"/>
      <c r="K5" s="241" t="n"/>
      <c r="L5" s="241" t="n"/>
      <c r="M5" s="241" t="n"/>
      <c r="N5" s="241" t="n"/>
    </row>
    <row r="6" ht="80" customHeight="1" s="239">
      <c r="A6" s="174" t="inlineStr">
        <is>
          <t>Built from model links. Funding logic applied: Phase 1 financed by the ₦275m Phase 1 loan; Phase 2 and Phase 3 capex funded internally by cash flow.</t>
        </is>
      </c>
      <c r="B6" s="241" t="n"/>
      <c r="C6" s="241" t="n"/>
      <c r="D6" s="241" t="n"/>
      <c r="E6" s="241" t="n"/>
      <c r="F6" s="241" t="n"/>
      <c r="G6" s="241" t="n"/>
      <c r="H6" s="241" t="n"/>
      <c r="I6" s="241" t="n"/>
      <c r="J6" s="241" t="n"/>
      <c r="K6" s="241" t="n"/>
      <c r="L6" s="241" t="n"/>
      <c r="M6" s="241" t="n"/>
      <c r="N6" s="241" t="n"/>
    </row>
    <row r="7">
      <c r="A7" s="241" t="n"/>
      <c r="B7" s="241" t="n"/>
      <c r="C7" s="241" t="n"/>
      <c r="D7" s="241" t="n"/>
      <c r="E7" s="241" t="n"/>
      <c r="F7" s="241" t="n"/>
      <c r="G7" s="241" t="n"/>
      <c r="H7" s="241" t="n"/>
      <c r="I7" s="241" t="n"/>
      <c r="J7" s="241" t="n"/>
      <c r="K7" s="241" t="n"/>
      <c r="L7" s="241" t="n"/>
      <c r="M7" s="241" t="n"/>
      <c r="N7" s="241" t="n"/>
    </row>
    <row r="8" ht="16" customHeight="1" s="239">
      <c r="A8" s="175" t="inlineStr">
        <is>
          <t>Line Item</t>
        </is>
      </c>
      <c r="B8" s="175" t="n">
        <v>1</v>
      </c>
      <c r="C8" s="175" t="n">
        <v>2</v>
      </c>
      <c r="D8" s="175" t="n">
        <v>3</v>
      </c>
      <c r="E8" s="175" t="n">
        <v>4</v>
      </c>
      <c r="F8" s="175" t="n">
        <v>5</v>
      </c>
      <c r="G8" s="175" t="n">
        <v>6</v>
      </c>
      <c r="H8" s="175" t="n">
        <v>7</v>
      </c>
      <c r="I8" s="175" t="n">
        <v>8</v>
      </c>
      <c r="J8" s="175" t="n">
        <v>9</v>
      </c>
      <c r="K8" s="175" t="n">
        <v>10</v>
      </c>
      <c r="L8" s="175" t="inlineStr">
        <is>
          <t>Total</t>
        </is>
      </c>
      <c r="M8" s="241" t="n"/>
      <c r="N8" s="241" t="n"/>
    </row>
    <row r="9" ht="16" customHeight="1" s="239">
      <c r="A9" s="173" t="inlineStr">
        <is>
          <t>SOURCES</t>
        </is>
      </c>
      <c r="B9" s="173" t="n"/>
      <c r="C9" s="173" t="n"/>
      <c r="D9" s="173" t="n"/>
      <c r="E9" s="173" t="n"/>
      <c r="F9" s="173" t="n"/>
      <c r="G9" s="173" t="n"/>
      <c r="H9" s="173" t="n"/>
      <c r="I9" s="173" t="n"/>
      <c r="J9" s="173" t="n"/>
      <c r="K9" s="173" t="n"/>
      <c r="L9" s="173" t="n"/>
      <c r="M9" s="241" t="n"/>
      <c r="N9" s="241" t="n"/>
    </row>
    <row r="10" ht="16" customHeight="1" s="239">
      <c r="A10" s="176" t="inlineStr">
        <is>
          <t>Phase 1 debt loan</t>
        </is>
      </c>
      <c r="B10" s="177">
        <f>IFERROR(IF(B$8=1,ASSUMPTIONS!$B$5,0),"")</f>
        <v/>
      </c>
      <c r="C10" s="177">
        <f>IFERROR(IF(C$8=1,ASSUMPTIONS!$B$5,0),"")</f>
        <v/>
      </c>
      <c r="D10" s="177">
        <f>IFERROR(IF(D$8=1,ASSUMPTIONS!$B$5,0),"")</f>
        <v/>
      </c>
      <c r="E10" s="177">
        <f>IFERROR(IF(E$8=1,ASSUMPTIONS!$B$5,0),"")</f>
        <v/>
      </c>
      <c r="F10" s="177">
        <f>IFERROR(IF(F$8=1,ASSUMPTIONS!$B$5,0),"")</f>
        <v/>
      </c>
      <c r="G10" s="177">
        <f>IFERROR(IF(G$8=1,ASSUMPTIONS!$B$5,0),"")</f>
        <v/>
      </c>
      <c r="H10" s="177">
        <f>IFERROR(IF(H$8=1,ASSUMPTIONS!$B$5,0),"")</f>
        <v/>
      </c>
      <c r="I10" s="177">
        <f>IFERROR(IF(I$8=1,ASSUMPTIONS!$B$5,0),"")</f>
        <v/>
      </c>
      <c r="J10" s="177">
        <f>IFERROR(IF(J$8=1,ASSUMPTIONS!$B$5,0),"")</f>
        <v/>
      </c>
      <c r="K10" s="177">
        <f>IFERROR(IF(K$8=1,ASSUMPTIONS!$B$5,0),"")</f>
        <v/>
      </c>
      <c r="L10" s="177">
        <f>IFERROR(SUM(B10:K10),"")</f>
        <v/>
      </c>
      <c r="M10" s="241" t="n"/>
      <c r="N10" s="241" t="n"/>
    </row>
    <row r="11" ht="16" customHeight="1" s="239">
      <c r="A11" s="176" t="inlineStr">
        <is>
          <t>Phase 2 internal cash funding</t>
        </is>
      </c>
      <c r="B11" s="177">
        <f>IFERROR(SUMIFS(CAPEX_APPENDIX!$D:$D,CAPEX_APPENDIX!$A:$A,"2",CAPEX_APPENDIX!$B:$B,B8),"")</f>
        <v/>
      </c>
      <c r="C11" s="177">
        <f>IFERROR(SUMIFS(CAPEX_APPENDIX!$D:$D,CAPEX_APPENDIX!$A:$A,"2",CAPEX_APPENDIX!$B:$B,C8),"")</f>
        <v/>
      </c>
      <c r="D11" s="177">
        <f>IFERROR(SUMIFS(CAPEX_APPENDIX!$D:$D,CAPEX_APPENDIX!$A:$A,"2",CAPEX_APPENDIX!$B:$B,D8),"")</f>
        <v/>
      </c>
      <c r="E11" s="177">
        <f>IFERROR(SUMIFS(CAPEX_APPENDIX!$D:$D,CAPEX_APPENDIX!$A:$A,"2",CAPEX_APPENDIX!$B:$B,E8),"")</f>
        <v/>
      </c>
      <c r="F11" s="177">
        <f>IFERROR(SUMIFS(CAPEX_APPENDIX!$D:$D,CAPEX_APPENDIX!$A:$A,"2",CAPEX_APPENDIX!$B:$B,F8),"")</f>
        <v/>
      </c>
      <c r="G11" s="177">
        <f>IFERROR(SUMIFS(CAPEX_APPENDIX!$D:$D,CAPEX_APPENDIX!$A:$A,"2",CAPEX_APPENDIX!$B:$B,G8),"")</f>
        <v/>
      </c>
      <c r="H11" s="177">
        <f>IFERROR(SUMIFS(CAPEX_APPENDIX!$D:$D,CAPEX_APPENDIX!$A:$A,"2",CAPEX_APPENDIX!$B:$B,H8),"")</f>
        <v/>
      </c>
      <c r="I11" s="177">
        <f>IFERROR(SUMIFS(CAPEX_APPENDIX!$D:$D,CAPEX_APPENDIX!$A:$A,"2",CAPEX_APPENDIX!$B:$B,I8),"")</f>
        <v/>
      </c>
      <c r="J11" s="177">
        <f>IFERROR(SUMIFS(CAPEX_APPENDIX!$D:$D,CAPEX_APPENDIX!$A:$A,"2",CAPEX_APPENDIX!$B:$B,J8),"")</f>
        <v/>
      </c>
      <c r="K11" s="177">
        <f>IFERROR(SUMIFS(CAPEX_APPENDIX!$D:$D,CAPEX_APPENDIX!$A:$A,"2",CAPEX_APPENDIX!$B:$B,K8),"")</f>
        <v/>
      </c>
      <c r="L11" s="177">
        <f>IFERROR(SUM(B11:K11),"")</f>
        <v/>
      </c>
      <c r="M11" s="241" t="n"/>
      <c r="N11" s="241" t="n"/>
    </row>
    <row r="12" ht="16" customHeight="1" s="239">
      <c r="A12" s="176" t="inlineStr">
        <is>
          <t>Phase 3 internal cash funding</t>
        </is>
      </c>
      <c r="B12" s="177">
        <f>IFERROR(SUMIFS(CAPEX_APPENDIX!$D:$D,CAPEX_APPENDIX!$A:$A,"3",CAPEX_APPENDIX!$B:$B,B8),"")</f>
        <v/>
      </c>
      <c r="C12" s="177">
        <f>IFERROR(SUMIFS(CAPEX_APPENDIX!$D:$D,CAPEX_APPENDIX!$A:$A,"3",CAPEX_APPENDIX!$B:$B,C8),"")</f>
        <v/>
      </c>
      <c r="D12" s="177">
        <f>IFERROR(SUMIFS(CAPEX_APPENDIX!$D:$D,CAPEX_APPENDIX!$A:$A,"3",CAPEX_APPENDIX!$B:$B,D8),"")</f>
        <v/>
      </c>
      <c r="E12" s="177">
        <f>IFERROR(SUMIFS(CAPEX_APPENDIX!$D:$D,CAPEX_APPENDIX!$A:$A,"3",CAPEX_APPENDIX!$B:$B,E8),"")</f>
        <v/>
      </c>
      <c r="F12" s="177">
        <f>IFERROR(SUMIFS(CAPEX_APPENDIX!$D:$D,CAPEX_APPENDIX!$A:$A,"3",CAPEX_APPENDIX!$B:$B,F8),"")</f>
        <v/>
      </c>
      <c r="G12" s="177">
        <f>IFERROR(SUMIFS(CAPEX_APPENDIX!$D:$D,CAPEX_APPENDIX!$A:$A,"3",CAPEX_APPENDIX!$B:$B,G8),"")</f>
        <v/>
      </c>
      <c r="H12" s="177">
        <f>IFERROR(SUMIFS(CAPEX_APPENDIX!$D:$D,CAPEX_APPENDIX!$A:$A,"3",CAPEX_APPENDIX!$B:$B,H8),"")</f>
        <v/>
      </c>
      <c r="I12" s="177">
        <f>IFERROR(SUMIFS(CAPEX_APPENDIX!$D:$D,CAPEX_APPENDIX!$A:$A,"3",CAPEX_APPENDIX!$B:$B,I8),"")</f>
        <v/>
      </c>
      <c r="J12" s="177">
        <f>IFERROR(SUMIFS(CAPEX_APPENDIX!$D:$D,CAPEX_APPENDIX!$A:$A,"3",CAPEX_APPENDIX!$B:$B,J8),"")</f>
        <v/>
      </c>
      <c r="K12" s="177">
        <f>IFERROR(SUMIFS(CAPEX_APPENDIX!$D:$D,CAPEX_APPENDIX!$A:$A,"3",CAPEX_APPENDIX!$B:$B,K8),"")</f>
        <v/>
      </c>
      <c r="L12" s="177">
        <f>IFERROR(SUM(B12:K12),"")</f>
        <v/>
      </c>
      <c r="M12" s="241" t="n"/>
      <c r="N12" s="241" t="n"/>
    </row>
    <row r="13" ht="16" customHeight="1" s="239">
      <c r="A13" s="178" t="inlineStr">
        <is>
          <t>Total Sources</t>
        </is>
      </c>
      <c r="B13" s="179">
        <f>IFERROR(SUM(B10:B12),"")</f>
        <v/>
      </c>
      <c r="C13" s="179">
        <f>IFERROR(SUM(C10:C12),"")</f>
        <v/>
      </c>
      <c r="D13" s="179">
        <f>IFERROR(SUM(D10:D12),"")</f>
        <v/>
      </c>
      <c r="E13" s="179">
        <f>IFERROR(SUM(E10:E12),"")</f>
        <v/>
      </c>
      <c r="F13" s="179">
        <f>IFERROR(SUM(F10:F12),"")</f>
        <v/>
      </c>
      <c r="G13" s="179">
        <f>IFERROR(SUM(G10:G12),"")</f>
        <v/>
      </c>
      <c r="H13" s="179">
        <f>IFERROR(SUM(H10:H12),"")</f>
        <v/>
      </c>
      <c r="I13" s="179">
        <f>IFERROR(SUM(I10:I12),"")</f>
        <v/>
      </c>
      <c r="J13" s="179">
        <f>IFERROR(SUM(J10:J12),"")</f>
        <v/>
      </c>
      <c r="K13" s="179">
        <f>IFERROR(SUM(K10:K12),"")</f>
        <v/>
      </c>
      <c r="L13" s="179">
        <f>IFERROR(SUM(B13:K13),"")</f>
        <v/>
      </c>
      <c r="M13" s="241" t="n"/>
      <c r="N13" s="180" t="n"/>
    </row>
    <row r="14">
      <c r="A14" s="241" t="n"/>
      <c r="B14" s="241" t="n"/>
      <c r="C14" s="241" t="n"/>
      <c r="D14" s="241" t="n"/>
      <c r="E14" s="241" t="n"/>
      <c r="F14" s="241" t="n"/>
      <c r="G14" s="241" t="n"/>
      <c r="H14" s="241" t="n"/>
      <c r="I14" s="241" t="n"/>
      <c r="J14" s="241" t="n"/>
      <c r="K14" s="241" t="n"/>
      <c r="L14" s="241" t="n"/>
      <c r="M14" s="241" t="n"/>
      <c r="N14" s="241" t="n"/>
    </row>
    <row r="15" ht="16" customHeight="1" s="239">
      <c r="A15" s="173" t="inlineStr">
        <is>
          <t>USES</t>
        </is>
      </c>
      <c r="B15" s="173" t="n"/>
      <c r="C15" s="173" t="n"/>
      <c r="D15" s="173" t="n"/>
      <c r="E15" s="173" t="n"/>
      <c r="F15" s="173" t="n"/>
      <c r="G15" s="173" t="n"/>
      <c r="H15" s="173" t="n"/>
      <c r="I15" s="173" t="n"/>
      <c r="J15" s="173" t="n"/>
      <c r="K15" s="173" t="n"/>
      <c r="L15" s="173" t="n"/>
      <c r="M15" s="241" t="n"/>
      <c r="N15" s="180" t="n"/>
    </row>
    <row r="16" ht="16" customHeight="1" s="239">
      <c r="A16" s="176" t="inlineStr">
        <is>
          <t>Phase 1 capex (incl. land)</t>
        </is>
      </c>
      <c r="B16" s="177">
        <f>IFERROR(SUMIFS(CAPEX_APPENDIX!$D:$D,CAPEX_APPENDIX!$A:$A,"1",CAPEX_APPENDIX!$B:$B,B8)+IF(B8=1,CAPEX_APPENDIX!$D$44,0),"")</f>
        <v/>
      </c>
      <c r="C16" s="177">
        <f>IFERROR(SUMIFS(CAPEX_APPENDIX!$D:$D,CAPEX_APPENDIX!$A:$A,"1",CAPEX_APPENDIX!$B:$B,C8)+IF(C8=1,CAPEX_APPENDIX!$D$44,0),"")</f>
        <v/>
      </c>
      <c r="D16" s="177">
        <f>IFERROR(SUMIFS(CAPEX_APPENDIX!$D:$D,CAPEX_APPENDIX!$A:$A,"1",CAPEX_APPENDIX!$B:$B,D8)+IF(D8=1,CAPEX_APPENDIX!$D$44,0),"")</f>
        <v/>
      </c>
      <c r="E16" s="177">
        <f>IFERROR(SUMIFS(CAPEX_APPENDIX!$D:$D,CAPEX_APPENDIX!$A:$A,"1",CAPEX_APPENDIX!$B:$B,E8)+IF(E8=1,CAPEX_APPENDIX!$D$44,0),"")</f>
        <v/>
      </c>
      <c r="F16" s="177">
        <f>IFERROR(SUMIFS(CAPEX_APPENDIX!$D:$D,CAPEX_APPENDIX!$A:$A,"1",CAPEX_APPENDIX!$B:$B,F8)+IF(F8=1,CAPEX_APPENDIX!$D$44,0),"")</f>
        <v/>
      </c>
      <c r="G16" s="177">
        <f>IFERROR(SUMIFS(CAPEX_APPENDIX!$D:$D,CAPEX_APPENDIX!$A:$A,"1",CAPEX_APPENDIX!$B:$B,G8)+IF(G8=1,CAPEX_APPENDIX!$D$44,0),"")</f>
        <v/>
      </c>
      <c r="H16" s="177">
        <f>IFERROR(SUMIFS(CAPEX_APPENDIX!$D:$D,CAPEX_APPENDIX!$A:$A,"1",CAPEX_APPENDIX!$B:$B,H8)+IF(H8=1,CAPEX_APPENDIX!$D$44,0),"")</f>
        <v/>
      </c>
      <c r="I16" s="177">
        <f>IFERROR(SUMIFS(CAPEX_APPENDIX!$D:$D,CAPEX_APPENDIX!$A:$A,"1",CAPEX_APPENDIX!$B:$B,I8)+IF(I8=1,CAPEX_APPENDIX!$D$44,0),"")</f>
        <v/>
      </c>
      <c r="J16" s="177">
        <f>IFERROR(SUMIFS(CAPEX_APPENDIX!$D:$D,CAPEX_APPENDIX!$A:$A,"1",CAPEX_APPENDIX!$B:$B,J8)+IF(J8=1,CAPEX_APPENDIX!$D$44,0),"")</f>
        <v/>
      </c>
      <c r="K16" s="177">
        <f>IFERROR(SUMIFS(CAPEX_APPENDIX!$D:$D,CAPEX_APPENDIX!$A:$A,"1",CAPEX_APPENDIX!$B:$B,K8)+IF(K8=1,CAPEX_APPENDIX!$D$44,0),"")</f>
        <v/>
      </c>
      <c r="L16" s="177">
        <f>IFERROR(SUM(B16:K16),"")</f>
        <v/>
      </c>
      <c r="M16" s="241" t="n"/>
      <c r="N16" s="241" t="n"/>
    </row>
    <row r="17" ht="16" customHeight="1" s="239">
      <c r="A17" s="176" t="inlineStr">
        <is>
          <t>Phase 2 capex</t>
        </is>
      </c>
      <c r="B17" s="177">
        <f>IFERROR(SUMIFS(CAPEX_APPENDIX!$D:$D,CAPEX_APPENDIX!$A:$A,"2",CAPEX_APPENDIX!$B:$B,B8),"")</f>
        <v/>
      </c>
      <c r="C17" s="177">
        <f>IFERROR(SUMIFS(CAPEX_APPENDIX!$D:$D,CAPEX_APPENDIX!$A:$A,"2",CAPEX_APPENDIX!$B:$B,C8),"")</f>
        <v/>
      </c>
      <c r="D17" s="177">
        <f>IFERROR(SUMIFS(CAPEX_APPENDIX!$D:$D,CAPEX_APPENDIX!$A:$A,"2",CAPEX_APPENDIX!$B:$B,D8),"")</f>
        <v/>
      </c>
      <c r="E17" s="177">
        <f>IFERROR(SUMIFS(CAPEX_APPENDIX!$D:$D,CAPEX_APPENDIX!$A:$A,"2",CAPEX_APPENDIX!$B:$B,E8),"")</f>
        <v/>
      </c>
      <c r="F17" s="177">
        <f>IFERROR(SUMIFS(CAPEX_APPENDIX!$D:$D,CAPEX_APPENDIX!$A:$A,"2",CAPEX_APPENDIX!$B:$B,F8),"")</f>
        <v/>
      </c>
      <c r="G17" s="177">
        <f>IFERROR(SUMIFS(CAPEX_APPENDIX!$D:$D,CAPEX_APPENDIX!$A:$A,"2",CAPEX_APPENDIX!$B:$B,G8),"")</f>
        <v/>
      </c>
      <c r="H17" s="177">
        <f>IFERROR(SUMIFS(CAPEX_APPENDIX!$D:$D,CAPEX_APPENDIX!$A:$A,"2",CAPEX_APPENDIX!$B:$B,H8),"")</f>
        <v/>
      </c>
      <c r="I17" s="177">
        <f>IFERROR(SUMIFS(CAPEX_APPENDIX!$D:$D,CAPEX_APPENDIX!$A:$A,"2",CAPEX_APPENDIX!$B:$B,I8),"")</f>
        <v/>
      </c>
      <c r="J17" s="177">
        <f>IFERROR(SUMIFS(CAPEX_APPENDIX!$D:$D,CAPEX_APPENDIX!$A:$A,"2",CAPEX_APPENDIX!$B:$B,J8),"")</f>
        <v/>
      </c>
      <c r="K17" s="177">
        <f>IFERROR(SUMIFS(CAPEX_APPENDIX!$D:$D,CAPEX_APPENDIX!$A:$A,"2",CAPEX_APPENDIX!$B:$B,K8),"")</f>
        <v/>
      </c>
      <c r="L17" s="177">
        <f>IFERROR(SUM(B17:K17),"")</f>
        <v/>
      </c>
      <c r="M17" s="241" t="n"/>
      <c r="N17" s="241" t="n"/>
    </row>
    <row r="18" ht="16" customHeight="1" s="239">
      <c r="A18" s="176" t="inlineStr">
        <is>
          <t>Phase 3 capex</t>
        </is>
      </c>
      <c r="B18" s="177">
        <f>IFERROR(SUMIFS(CAPEX_APPENDIX!$D:$D,CAPEX_APPENDIX!$A:$A,"3",CAPEX_APPENDIX!$B:$B,B8),"")</f>
        <v/>
      </c>
      <c r="C18" s="177">
        <f>IFERROR(SUMIFS(CAPEX_APPENDIX!$D:$D,CAPEX_APPENDIX!$A:$A,"3",CAPEX_APPENDIX!$B:$B,C8),"")</f>
        <v/>
      </c>
      <c r="D18" s="177">
        <f>IFERROR(SUMIFS(CAPEX_APPENDIX!$D:$D,CAPEX_APPENDIX!$A:$A,"3",CAPEX_APPENDIX!$B:$B,D8),"")</f>
        <v/>
      </c>
      <c r="E18" s="177">
        <f>IFERROR(SUMIFS(CAPEX_APPENDIX!$D:$D,CAPEX_APPENDIX!$A:$A,"3",CAPEX_APPENDIX!$B:$B,E8),"")</f>
        <v/>
      </c>
      <c r="F18" s="177">
        <f>IFERROR(SUMIFS(CAPEX_APPENDIX!$D:$D,CAPEX_APPENDIX!$A:$A,"3",CAPEX_APPENDIX!$B:$B,F8),"")</f>
        <v/>
      </c>
      <c r="G18" s="177">
        <f>IFERROR(SUMIFS(CAPEX_APPENDIX!$D:$D,CAPEX_APPENDIX!$A:$A,"3",CAPEX_APPENDIX!$B:$B,G8),"")</f>
        <v/>
      </c>
      <c r="H18" s="177">
        <f>IFERROR(SUMIFS(CAPEX_APPENDIX!$D:$D,CAPEX_APPENDIX!$A:$A,"3",CAPEX_APPENDIX!$B:$B,H8),"")</f>
        <v/>
      </c>
      <c r="I18" s="177">
        <f>IFERROR(SUMIFS(CAPEX_APPENDIX!$D:$D,CAPEX_APPENDIX!$A:$A,"3",CAPEX_APPENDIX!$B:$B,I8),"")</f>
        <v/>
      </c>
      <c r="J18" s="177">
        <f>IFERROR(SUMIFS(CAPEX_APPENDIX!$D:$D,CAPEX_APPENDIX!$A:$A,"3",CAPEX_APPENDIX!$B:$B,J8),"")</f>
        <v/>
      </c>
      <c r="K18" s="177">
        <f>IFERROR(SUMIFS(CAPEX_APPENDIX!$D:$D,CAPEX_APPENDIX!$A:$A,"3",CAPEX_APPENDIX!$B:$B,K8),"")</f>
        <v/>
      </c>
      <c r="L18" s="177">
        <f>IFERROR(SUM(B18:K18),"")</f>
        <v/>
      </c>
      <c r="M18" s="241" t="n"/>
      <c r="N18" s="241" t="n"/>
    </row>
    <row r="19" ht="16" customHeight="1" s="239">
      <c r="A19" s="178" t="inlineStr">
        <is>
          <t>Total Uses</t>
        </is>
      </c>
      <c r="B19" s="179">
        <f>IFERROR(SUM(B16:B18)+SUM(B33:B39),"")</f>
        <v/>
      </c>
      <c r="C19" s="179">
        <f>IFERROR(SUM(C16:C18)+SUM(C33:C39),"")</f>
        <v/>
      </c>
      <c r="D19" s="179">
        <f>IFERROR(SUM(D16:D18)+SUM(D33:D39),"")</f>
        <v/>
      </c>
      <c r="E19" s="179">
        <f>IFERROR(SUM(E16:E18)+SUM(E33:E39),"")</f>
        <v/>
      </c>
      <c r="F19" s="179">
        <f>IFERROR(SUM(F16:F18)+SUM(F33:F39),"")</f>
        <v/>
      </c>
      <c r="G19" s="179">
        <f>IFERROR(SUM(G16:G18)+SUM(G33:G39),"")</f>
        <v/>
      </c>
      <c r="H19" s="179">
        <f>IFERROR(SUM(H16:H18)+SUM(H33:H39),"")</f>
        <v/>
      </c>
      <c r="I19" s="179">
        <f>IFERROR(SUM(I16:I18)+SUM(I33:I39),"")</f>
        <v/>
      </c>
      <c r="J19" s="179">
        <f>IFERROR(SUM(J16:J18)+SUM(J33:J39),"")</f>
        <v/>
      </c>
      <c r="K19" s="179">
        <f>IFERROR(SUM(K16:K18)+SUM(K33:K39),"")</f>
        <v/>
      </c>
      <c r="L19" s="179">
        <f>IFERROR(SUM(B19:K19),"")</f>
        <v/>
      </c>
      <c r="M19" s="241" t="n"/>
      <c r="N19" s="241" t="n"/>
    </row>
    <row r="20" ht="16" customHeight="1" s="239">
      <c r="A20" s="181" t="inlineStr">
        <is>
          <t>Funding Gap (Sources - Uses)</t>
        </is>
      </c>
      <c r="B20" s="182">
        <f>IFERROR(B13-B19,"")</f>
        <v/>
      </c>
      <c r="C20" s="182">
        <f>IFERROR(C13-C19,"")</f>
        <v/>
      </c>
      <c r="D20" s="182">
        <f>IFERROR(D13-D19,"")</f>
        <v/>
      </c>
      <c r="E20" s="182">
        <f>IFERROR(E13-E19,"")</f>
        <v/>
      </c>
      <c r="F20" s="182">
        <f>IFERROR(F13-F19,"")</f>
        <v/>
      </c>
      <c r="G20" s="182">
        <f>IFERROR(G13-G19,"")</f>
        <v/>
      </c>
      <c r="H20" s="182">
        <f>IFERROR(H13-H19,"")</f>
        <v/>
      </c>
      <c r="I20" s="182">
        <f>IFERROR(I13-I19,"")</f>
        <v/>
      </c>
      <c r="J20" s="182">
        <f>IFERROR(J13-J19,"")</f>
        <v/>
      </c>
      <c r="K20" s="182">
        <f>IFERROR(K13-K19,"")</f>
        <v/>
      </c>
      <c r="L20" s="182">
        <f>IFERROR(SUM(B20:K20),"")</f>
        <v/>
      </c>
      <c r="M20" s="241" t="n"/>
      <c r="N20" s="241" t="n"/>
    </row>
    <row r="21">
      <c r="A21" s="241" t="n"/>
      <c r="B21" s="241" t="n"/>
      <c r="C21" s="241" t="n"/>
      <c r="D21" s="241" t="n"/>
      <c r="E21" s="241" t="n"/>
      <c r="F21" s="241" t="n"/>
      <c r="G21" s="241" t="n"/>
      <c r="H21" s="241" t="n"/>
      <c r="I21" s="241" t="n"/>
      <c r="J21" s="241" t="n"/>
      <c r="K21" s="241" t="n"/>
      <c r="L21" s="241" t="n"/>
      <c r="M21" s="241" t="n"/>
      <c r="N21" s="241" t="n"/>
    </row>
    <row r="22" ht="16" customHeight="1" s="239">
      <c r="A22" s="173" t="inlineStr">
        <is>
          <t>LINKED SUPPORT METRICS</t>
        </is>
      </c>
      <c r="B22" s="173" t="n"/>
      <c r="C22" s="173" t="n"/>
      <c r="D22" s="173" t="n"/>
      <c r="E22" s="173" t="n"/>
      <c r="F22" s="173" t="n"/>
      <c r="G22" s="173" t="n"/>
      <c r="H22" s="173" t="n"/>
      <c r="I22" s="173" t="n"/>
      <c r="J22" s="173" t="n"/>
      <c r="K22" s="173" t="n"/>
      <c r="L22" s="173" t="n"/>
      <c r="M22" s="241" t="n"/>
      <c r="N22" s="241" t="n"/>
    </row>
    <row r="23" ht="16" customHeight="1" s="239">
      <c r="A23" s="183" t="inlineStr">
        <is>
          <t>Operating cash flow (CFO)</t>
        </is>
      </c>
      <c r="B23" s="184">
        <f>IFERROR(PNL!B22,"")</f>
        <v/>
      </c>
      <c r="C23" s="184">
        <f>IFERROR(PNL!C22,"")</f>
        <v/>
      </c>
      <c r="D23" s="184">
        <f>IFERROR(PNL!D22,"")</f>
        <v/>
      </c>
      <c r="E23" s="184">
        <f>IFERROR(PNL!E22,"")</f>
        <v/>
      </c>
      <c r="F23" s="184">
        <f>IFERROR(PNL!F22,"")</f>
        <v/>
      </c>
      <c r="G23" s="184">
        <f>IFERROR(PNL!G22,"")</f>
        <v/>
      </c>
      <c r="H23" s="184">
        <f>IFERROR(PNL!H22,"")</f>
        <v/>
      </c>
      <c r="I23" s="184">
        <f>IFERROR(PNL!I22,"")</f>
        <v/>
      </c>
      <c r="J23" s="184">
        <f>IFERROR(PNL!J22,"")</f>
        <v/>
      </c>
      <c r="K23" s="184">
        <f>IFERROR(PNL!K22,"")</f>
        <v/>
      </c>
      <c r="L23" s="184">
        <f>IFERROR(SUM(B19:K19),"")</f>
        <v/>
      </c>
      <c r="M23" s="241" t="n"/>
      <c r="N23" s="241" t="n"/>
    </row>
    <row r="24" ht="16" customHeight="1" s="239">
      <c r="A24" s="183" t="inlineStr">
        <is>
          <t>Debt service</t>
        </is>
      </c>
      <c r="B24" s="184">
        <f>IFERROR(PNL!B26,"")</f>
        <v/>
      </c>
      <c r="C24" s="184">
        <f>IFERROR(PNL!C26,"")</f>
        <v/>
      </c>
      <c r="D24" s="184">
        <f>IFERROR(PNL!D26,"")</f>
        <v/>
      </c>
      <c r="E24" s="184">
        <f>IFERROR(PNL!E26,"")</f>
        <v/>
      </c>
      <c r="F24" s="184">
        <f>IFERROR(PNL!F26,"")</f>
        <v/>
      </c>
      <c r="G24" s="184">
        <f>IFERROR(PNL!G26,"")</f>
        <v/>
      </c>
      <c r="H24" s="184">
        <f>IFERROR(PNL!H26,"")</f>
        <v/>
      </c>
      <c r="I24" s="184">
        <f>IFERROR(PNL!I26,"")</f>
        <v/>
      </c>
      <c r="J24" s="184">
        <f>IFERROR(PNL!J26,"")</f>
        <v/>
      </c>
      <c r="K24" s="184">
        <f>IFERROR(PNL!K26,"")</f>
        <v/>
      </c>
      <c r="L24" s="184">
        <f>IFERROR(SUM(B20:K20),"")</f>
        <v/>
      </c>
      <c r="M24" s="241" t="n"/>
      <c r="N24" s="241" t="n"/>
    </row>
    <row r="25" ht="16" customHeight="1" s="239">
      <c r="A25" s="183" t="inlineStr">
        <is>
          <t>Ending cash</t>
        </is>
      </c>
      <c r="B25" s="184">
        <f>IFERROR(PNL!B29,"")</f>
        <v/>
      </c>
      <c r="C25" s="184">
        <f>IFERROR(PNL!C29,"")</f>
        <v/>
      </c>
      <c r="D25" s="184">
        <f>IFERROR(PNL!D29,"")</f>
        <v/>
      </c>
      <c r="E25" s="184">
        <f>IFERROR(PNL!E29,"")</f>
        <v/>
      </c>
      <c r="F25" s="184">
        <f>IFERROR(PNL!F29,"")</f>
        <v/>
      </c>
      <c r="G25" s="184">
        <f>IFERROR(PNL!G29,"")</f>
        <v/>
      </c>
      <c r="H25" s="184">
        <f>IFERROR(PNL!H29,"")</f>
        <v/>
      </c>
      <c r="I25" s="184">
        <f>IFERROR(PNL!I29,"")</f>
        <v/>
      </c>
      <c r="J25" s="184">
        <f>IFERROR(PNL!J29,"")</f>
        <v/>
      </c>
      <c r="K25" s="184">
        <f>IFERROR(PNL!K29,"")</f>
        <v/>
      </c>
      <c r="L25" s="184">
        <f>IFERROR(SUM(B21:K21),"")</f>
        <v/>
      </c>
      <c r="M25" s="241" t="n"/>
      <c r="N25" s="241" t="n"/>
    </row>
    <row r="26" ht="32" customHeight="1" s="239">
      <c r="A26" s="183" t="inlineStr">
        <is>
          <t>Internal funding requirement (Phase 2 + Phase 3)</t>
        </is>
      </c>
      <c r="B26" s="184">
        <f>IFERROR(B17+B18,"")</f>
        <v/>
      </c>
      <c r="C26" s="184">
        <f>IFERROR(C17+C18,"")</f>
        <v/>
      </c>
      <c r="D26" s="184">
        <f>IFERROR(D17+D18,"")</f>
        <v/>
      </c>
      <c r="E26" s="184">
        <f>IFERROR(E17+E18,"")</f>
        <v/>
      </c>
      <c r="F26" s="184">
        <f>IFERROR(F17+F18,"")</f>
        <v/>
      </c>
      <c r="G26" s="184">
        <f>IFERROR(G17+G18,"")</f>
        <v/>
      </c>
      <c r="H26" s="184">
        <f>IFERROR(H17+H18,"")</f>
        <v/>
      </c>
      <c r="I26" s="184">
        <f>IFERROR(I17+I18,"")</f>
        <v/>
      </c>
      <c r="J26" s="184">
        <f>IFERROR(J17+J18,"")</f>
        <v/>
      </c>
      <c r="K26" s="184">
        <f>IFERROR(K17+K18,"")</f>
        <v/>
      </c>
      <c r="L26" s="184">
        <f>IFERROR(SUM(B22:K22),"")</f>
        <v/>
      </c>
      <c r="M26" s="241" t="n"/>
      <c r="N26" s="241" t="n"/>
    </row>
    <row r="27" ht="16" customHeight="1" s="239">
      <c r="A27" s="183" t="inlineStr">
        <is>
          <t>CFO less internal funding requirement</t>
        </is>
      </c>
      <c r="B27" s="184">
        <f>IFERROR(B23-B26,"")</f>
        <v/>
      </c>
      <c r="C27" s="184">
        <f>IFERROR(C23-C26,"")</f>
        <v/>
      </c>
      <c r="D27" s="184">
        <f>IFERROR(D23-D26,"")</f>
        <v/>
      </c>
      <c r="E27" s="184">
        <f>IFERROR(E23-E26,"")</f>
        <v/>
      </c>
      <c r="F27" s="184">
        <f>IFERROR(F23-F26,"")</f>
        <v/>
      </c>
      <c r="G27" s="184">
        <f>IFERROR(G23-G26,"")</f>
        <v/>
      </c>
      <c r="H27" s="184">
        <f>IFERROR(H23-H26,"")</f>
        <v/>
      </c>
      <c r="I27" s="184">
        <f>IFERROR(I23-I26,"")</f>
        <v/>
      </c>
      <c r="J27" s="184">
        <f>IFERROR(J23-J26,"")</f>
        <v/>
      </c>
      <c r="K27" s="184">
        <f>IFERROR(K23-K26,"")</f>
        <v/>
      </c>
      <c r="L27" s="184">
        <f>IFERROR(SUM(B23:K23),"")</f>
        <v/>
      </c>
      <c r="M27" s="241" t="n"/>
      <c r="N27" s="241" t="n"/>
    </row>
    <row r="28" ht="32" customHeight="1" s="239">
      <c r="A28" s="183" t="inlineStr">
        <is>
          <t>Ending cash less internal funding requirement</t>
        </is>
      </c>
      <c r="B28" s="184">
        <f>IFERROR(B25-B26,"")</f>
        <v/>
      </c>
      <c r="C28" s="184">
        <f>IFERROR(C25-C26,"")</f>
        <v/>
      </c>
      <c r="D28" s="184">
        <f>IFERROR(D25-D26,"")</f>
        <v/>
      </c>
      <c r="E28" s="184">
        <f>IFERROR(E25-E26,"")</f>
        <v/>
      </c>
      <c r="F28" s="184">
        <f>IFERROR(F25-F26,"")</f>
        <v/>
      </c>
      <c r="G28" s="184">
        <f>IFERROR(G25-G26,"")</f>
        <v/>
      </c>
      <c r="H28" s="184">
        <f>IFERROR(H25-H26,"")</f>
        <v/>
      </c>
      <c r="I28" s="184">
        <f>IFERROR(I25-I26,"")</f>
        <v/>
      </c>
      <c r="J28" s="184">
        <f>IFERROR(J25-J26,"")</f>
        <v/>
      </c>
      <c r="K28" s="184">
        <f>IFERROR(K25-K26,"")</f>
        <v/>
      </c>
      <c r="L28" s="184">
        <f>IFERROR(SUM(B24:K24),"")</f>
        <v/>
      </c>
      <c r="M28" s="241" t="n"/>
      <c r="N28" s="241" t="n"/>
    </row>
    <row r="29">
      <c r="A29" s="241" t="n"/>
      <c r="B29" s="241" t="n"/>
      <c r="C29" s="241" t="n"/>
      <c r="D29" s="241" t="n"/>
      <c r="E29" s="241" t="n"/>
      <c r="F29" s="241" t="n"/>
      <c r="G29" s="241" t="n"/>
      <c r="H29" s="241" t="n"/>
      <c r="I29" s="241" t="n"/>
      <c r="J29" s="241" t="n"/>
      <c r="K29" s="241" t="n"/>
      <c r="L29" s="241" t="n"/>
      <c r="M29" s="241" t="n"/>
      <c r="N29" s="241" t="n"/>
    </row>
    <row r="30" ht="16" customHeight="1" s="239">
      <c r="A30" s="185" t="inlineStr">
        <is>
          <t>CUMULATIVE CASH BRIDGE</t>
        </is>
      </c>
      <c r="B30" s="186" t="n"/>
      <c r="C30" s="186" t="n"/>
      <c r="D30" s="186" t="n"/>
      <c r="E30" s="186" t="n"/>
      <c r="F30" s="186" t="n"/>
      <c r="G30" s="186" t="n"/>
      <c r="H30" s="186" t="n"/>
      <c r="I30" s="186" t="n"/>
      <c r="J30" s="186" t="n"/>
      <c r="K30" s="186" t="n"/>
      <c r="L30" s="186" t="n"/>
      <c r="M30" s="241" t="n"/>
      <c r="N30" s="241" t="n"/>
    </row>
    <row r="31" ht="16" customHeight="1" s="239">
      <c r="A31" s="148" t="inlineStr">
        <is>
          <t>Opening Cash</t>
        </is>
      </c>
      <c r="B31" s="169" t="n">
        <v>0</v>
      </c>
      <c r="C31" s="169">
        <f>IFERROR(B36,"")</f>
        <v/>
      </c>
      <c r="D31" s="169">
        <f>IFERROR(C36,"")</f>
        <v/>
      </c>
      <c r="E31" s="169">
        <f>IFERROR(D36,"")</f>
        <v/>
      </c>
      <c r="F31" s="169">
        <f>IFERROR(E36,"")</f>
        <v/>
      </c>
      <c r="G31" s="169">
        <f>IFERROR(F36,"")</f>
        <v/>
      </c>
      <c r="H31" s="169">
        <f>IFERROR(G36,"")</f>
        <v/>
      </c>
      <c r="I31" s="169">
        <f>IFERROR(H36,"")</f>
        <v/>
      </c>
      <c r="J31" s="169">
        <f>IFERROR(I36,"")</f>
        <v/>
      </c>
      <c r="K31" s="169">
        <f>IFERROR(J36,"")</f>
        <v/>
      </c>
      <c r="L31" s="169">
        <f>IFERROR(K32,"")</f>
        <v/>
      </c>
      <c r="M31" s="241" t="n"/>
      <c r="N31" s="241" t="n"/>
    </row>
    <row r="32" ht="16" customHeight="1" s="239">
      <c r="A32" s="148" t="inlineStr">
        <is>
          <t>CFO</t>
        </is>
      </c>
      <c r="B32" s="169">
        <f>IFERROR(B23,"")</f>
        <v/>
      </c>
      <c r="C32" s="169">
        <f>IFERROR(C23,"")</f>
        <v/>
      </c>
      <c r="D32" s="169">
        <f>IFERROR(D23,"")</f>
        <v/>
      </c>
      <c r="E32" s="169">
        <f>IFERROR(E23,"")</f>
        <v/>
      </c>
      <c r="F32" s="169">
        <f>IFERROR(F23,"")</f>
        <v/>
      </c>
      <c r="G32" s="169">
        <f>IFERROR(G23,"")</f>
        <v/>
      </c>
      <c r="H32" s="169">
        <f>IFERROR(H23,"")</f>
        <v/>
      </c>
      <c r="I32" s="169">
        <f>IFERROR(I23,"")</f>
        <v/>
      </c>
      <c r="J32" s="169">
        <f>IFERROR(J23,"")</f>
        <v/>
      </c>
      <c r="K32" s="169">
        <f>IFERROR(K23,"")</f>
        <v/>
      </c>
      <c r="L32" s="169">
        <f>IFERROR(L19,"")</f>
        <v/>
      </c>
      <c r="M32" s="241" t="n"/>
      <c r="N32" s="241" t="n"/>
    </row>
    <row r="33" ht="16" customHeight="1" s="239">
      <c r="A33" s="148" t="inlineStr">
        <is>
          <t>Working Capital</t>
        </is>
      </c>
      <c r="B33" s="169">
        <f>IFERROR(IF(B$8=1,MAX(0,WORKING_CAPITAL!B7),0),"")</f>
        <v/>
      </c>
      <c r="C33" s="169">
        <f>IFERROR(IF(C$8=1,MAX(0,WORKING_CAPITAL!C7),0),"")</f>
        <v/>
      </c>
      <c r="D33" s="169">
        <f>IFERROR(IF(D$8=1,MAX(0,WORKING_CAPITAL!D7),0),"")</f>
        <v/>
      </c>
      <c r="E33" s="169">
        <f>IFERROR(IF(E$8=1,MAX(0,WORKING_CAPITAL!E7),0),"")</f>
        <v/>
      </c>
      <c r="F33" s="169">
        <f>IFERROR(IF(F$8=1,MAX(0,WORKING_CAPITAL!F7),0),"")</f>
        <v/>
      </c>
      <c r="G33" s="169">
        <f>IFERROR(IF(G$8=1,MAX(0,WORKING_CAPITAL!G7),0),"")</f>
        <v/>
      </c>
      <c r="H33" s="169">
        <f>IFERROR(IF(H$8=1,MAX(0,WORKING_CAPITAL!H7),0),"")</f>
        <v/>
      </c>
      <c r="I33" s="169">
        <f>IFERROR(IF(I$8=1,MAX(0,WORKING_CAPITAL!I7),0),"")</f>
        <v/>
      </c>
      <c r="J33" s="169">
        <f>IFERROR(IF(J$8=1,MAX(0,WORKING_CAPITAL!J7),0),"")</f>
        <v/>
      </c>
      <c r="K33" s="169">
        <f>IFERROR(IF(K$8=1,MAX(0,WORKING_CAPITAL!K7),0),"")</f>
        <v/>
      </c>
      <c r="L33" s="169">
        <f>IFERROR(SUM(B33:K33),"")</f>
        <v/>
      </c>
      <c r="M33" s="241" t="n"/>
      <c r="N33" s="241" t="n"/>
    </row>
    <row r="34" ht="16" customHeight="1" s="239">
      <c r="A34" s="148" t="inlineStr">
        <is>
          <t>IDC</t>
        </is>
      </c>
      <c r="B34" s="169">
        <f>IFERROR(IF(B$8=1,FUNDING_DEBT!D57,0),"")</f>
        <v/>
      </c>
      <c r="C34" s="169">
        <f>IFERROR(IF(C$8=1,FUNDING_DEBT!D57,0),"")</f>
        <v/>
      </c>
      <c r="D34" s="169">
        <f>IFERROR(IF(D$8=1,FUNDING_DEBT!D57,0),"")</f>
        <v/>
      </c>
      <c r="E34" s="169">
        <f>IFERROR(IF(E$8=1,FUNDING_DEBT!D57,0),"")</f>
        <v/>
      </c>
      <c r="F34" s="169">
        <f>IFERROR(IF(F$8=1,FUNDING_DEBT!D57,0),"")</f>
        <v/>
      </c>
      <c r="G34" s="169">
        <f>IFERROR(IF(G$8=1,FUNDING_DEBT!D57,0),"")</f>
        <v/>
      </c>
      <c r="H34" s="169">
        <f>IFERROR(IF(H$8=1,FUNDING_DEBT!D57,0),"")</f>
        <v/>
      </c>
      <c r="I34" s="169">
        <f>IFERROR(IF(I$8=1,FUNDING_DEBT!D57,0),"")</f>
        <v/>
      </c>
      <c r="J34" s="169">
        <f>IFERROR(IF(J$8=1,FUNDING_DEBT!D57,0),"")</f>
        <v/>
      </c>
      <c r="K34" s="169">
        <f>IFERROR(IF(K$8=1,FUNDING_DEBT!D57,0),"")</f>
        <v/>
      </c>
      <c r="L34" s="169">
        <f>IFERROR(SUM(B34:K34),"")</f>
        <v/>
      </c>
      <c r="M34" s="241" t="n"/>
      <c r="N34" s="241" t="n"/>
    </row>
    <row r="35" ht="16" customHeight="1" s="239">
      <c r="A35" s="148" t="inlineStr">
        <is>
          <t>Arrangement Fee</t>
        </is>
      </c>
      <c r="B35" s="169">
        <f>IFERROR(IF(B$8=1,ASSUMPTIONS!$B$5*1%,0),"")</f>
        <v/>
      </c>
      <c r="C35" s="169">
        <f>IFERROR(IF(C$8=1,ASSUMPTIONS!$B$5*1%,0),"")</f>
        <v/>
      </c>
      <c r="D35" s="169">
        <f>IFERROR(IF(D$8=1,ASSUMPTIONS!$B$5*1%,0),"")</f>
        <v/>
      </c>
      <c r="E35" s="169">
        <f>IFERROR(IF(E$8=1,ASSUMPTIONS!$B$5*1%,0),"")</f>
        <v/>
      </c>
      <c r="F35" s="169">
        <f>IFERROR(IF(F$8=1,ASSUMPTIONS!$B$5*1%,0),"")</f>
        <v/>
      </c>
      <c r="G35" s="169">
        <f>IFERROR(IF(G$8=1,ASSUMPTIONS!$B$5*1%,0),"")</f>
        <v/>
      </c>
      <c r="H35" s="169">
        <f>IFERROR(IF(H$8=1,ASSUMPTIONS!$B$5*1%,0),"")</f>
        <v/>
      </c>
      <c r="I35" s="169">
        <f>IFERROR(IF(I$8=1,ASSUMPTIONS!$B$5*1%,0),"")</f>
        <v/>
      </c>
      <c r="J35" s="169">
        <f>IFERROR(IF(J$8=1,ASSUMPTIONS!$B$5*1%,0),"")</f>
        <v/>
      </c>
      <c r="K35" s="169">
        <f>IFERROR(IF(K$8=1,ASSUMPTIONS!$B$5*1%,0),"")</f>
        <v/>
      </c>
      <c r="L35" s="169">
        <f>IFERROR(SUM(B35:K35),"")</f>
        <v/>
      </c>
      <c r="M35" s="241" t="n"/>
      <c r="N35" s="241" t="n"/>
    </row>
    <row r="36" ht="16" customHeight="1" s="239">
      <c r="A36" s="148" t="inlineStr">
        <is>
          <t>Commitment Fee</t>
        </is>
      </c>
      <c r="B36" s="169">
        <f>IFERROR(IF(B$8=1,ASSUMPTIONS!$B$5*0.5%,0),"")</f>
        <v/>
      </c>
      <c r="C36" s="169">
        <f>IFERROR(IF(C$8=1,ASSUMPTIONS!$B$5*0.5%,0),"")</f>
        <v/>
      </c>
      <c r="D36" s="169">
        <f>IFERROR(IF(D$8=1,ASSUMPTIONS!$B$5*0.5%,0),"")</f>
        <v/>
      </c>
      <c r="E36" s="169">
        <f>IFERROR(IF(E$8=1,ASSUMPTIONS!$B$5*0.5%,0),"")</f>
        <v/>
      </c>
      <c r="F36" s="169">
        <f>IFERROR(IF(F$8=1,ASSUMPTIONS!$B$5*0.5%,0),"")</f>
        <v/>
      </c>
      <c r="G36" s="169">
        <f>IFERROR(IF(G$8=1,ASSUMPTIONS!$B$5*0.5%,0),"")</f>
        <v/>
      </c>
      <c r="H36" s="169">
        <f>IFERROR(IF(H$8=1,ASSUMPTIONS!$B$5*0.5%,0),"")</f>
        <v/>
      </c>
      <c r="I36" s="169">
        <f>IFERROR(IF(I$8=1,ASSUMPTIONS!$B$5*0.5%,0),"")</f>
        <v/>
      </c>
      <c r="J36" s="169">
        <f>IFERROR(IF(J$8=1,ASSUMPTIONS!$B$5*0.5%,0),"")</f>
        <v/>
      </c>
      <c r="K36" s="169">
        <f>IFERROR(IF(K$8=1,ASSUMPTIONS!$B$5*0.5%,0),"")</f>
        <v/>
      </c>
      <c r="L36" s="169">
        <f>IFERROR(SUM(B36:K36),"")</f>
        <v/>
      </c>
      <c r="M36" s="241" t="n"/>
      <c r="N36" s="241" t="n"/>
    </row>
    <row r="37" ht="16" customHeight="1" s="239">
      <c r="A37" s="148" t="inlineStr">
        <is>
          <t>Legal Fee</t>
        </is>
      </c>
      <c r="B37" s="169">
        <f>IFERROR(IF(B$8=1,ASSUMPTIONS!$B$5*0.5%,0),"")</f>
        <v/>
      </c>
      <c r="C37" s="169">
        <f>IFERROR(IF(C$8=1,ASSUMPTIONS!$B$5*0.5%,0),"")</f>
        <v/>
      </c>
      <c r="D37" s="169">
        <f>IFERROR(IF(D$8=1,ASSUMPTIONS!$B$5*0.5%,0),"")</f>
        <v/>
      </c>
      <c r="E37" s="169">
        <f>IFERROR(IF(E$8=1,ASSUMPTIONS!$B$5*0.5%,0),"")</f>
        <v/>
      </c>
      <c r="F37" s="169">
        <f>IFERROR(IF(F$8=1,ASSUMPTIONS!$B$5*0.5%,0),"")</f>
        <v/>
      </c>
      <c r="G37" s="169">
        <f>IFERROR(IF(G$8=1,ASSUMPTIONS!$B$5*0.5%,0),"")</f>
        <v/>
      </c>
      <c r="H37" s="169">
        <f>IFERROR(IF(H$8=1,ASSUMPTIONS!$B$5*0.5%,0),"")</f>
        <v/>
      </c>
      <c r="I37" s="169">
        <f>IFERROR(IF(I$8=1,ASSUMPTIONS!$B$5*0.5%,0),"")</f>
        <v/>
      </c>
      <c r="J37" s="169">
        <f>IFERROR(IF(J$8=1,ASSUMPTIONS!$B$5*0.5%,0),"")</f>
        <v/>
      </c>
      <c r="K37" s="169">
        <f>IFERROR(IF(K$8=1,ASSUMPTIONS!$B$5*0.5%,0),"")</f>
        <v/>
      </c>
      <c r="L37" s="169">
        <f>IFERROR(SUM(B37:K37),"")</f>
        <v/>
      </c>
      <c r="M37" s="241" t="n"/>
      <c r="N37" s="241" t="n"/>
    </row>
    <row r="38" ht="16" customHeight="1" s="239">
      <c r="A38" s="148" t="inlineStr">
        <is>
          <t>Monitoring Fee</t>
        </is>
      </c>
      <c r="B38" s="169">
        <f>IFERROR(IF(B$8=1,ASSUMPTIONS!$B$5*0.25%,0),"")</f>
        <v/>
      </c>
      <c r="C38" s="169">
        <f>IFERROR(IF(C$8=1,ASSUMPTIONS!$B$5*0.25%,0),"")</f>
        <v/>
      </c>
      <c r="D38" s="169">
        <f>IFERROR(IF(D$8=1,ASSUMPTIONS!$B$5*0.25%,0),"")</f>
        <v/>
      </c>
      <c r="E38" s="169">
        <f>IFERROR(IF(E$8=1,ASSUMPTIONS!$B$5*0.25%,0),"")</f>
        <v/>
      </c>
      <c r="F38" s="169">
        <f>IFERROR(IF(F$8=1,ASSUMPTIONS!$B$5*0.25%,0),"")</f>
        <v/>
      </c>
      <c r="G38" s="169">
        <f>IFERROR(IF(G$8=1,ASSUMPTIONS!$B$5*0.25%,0),"")</f>
        <v/>
      </c>
      <c r="H38" s="169">
        <f>IFERROR(IF(H$8=1,ASSUMPTIONS!$B$5*0.25%,0),"")</f>
        <v/>
      </c>
      <c r="I38" s="169">
        <f>IFERROR(IF(I$8=1,ASSUMPTIONS!$B$5*0.25%,0),"")</f>
        <v/>
      </c>
      <c r="J38" s="169">
        <f>IFERROR(IF(J$8=1,ASSUMPTIONS!$B$5*0.25%,0),"")</f>
        <v/>
      </c>
      <c r="K38" s="169">
        <f>IFERROR(IF(K$8=1,ASSUMPTIONS!$B$5*0.25%,0),"")</f>
        <v/>
      </c>
      <c r="L38" s="169">
        <f>IFERROR(SUM(B38:K38),"")</f>
        <v/>
      </c>
      <c r="M38" s="241" t="n"/>
      <c r="N38" s="241" t="n"/>
    </row>
    <row r="39">
      <c r="A39" s="241" t="inlineStr">
        <is>
          <t>Contingency</t>
        </is>
      </c>
      <c r="B39" s="241">
        <f>IFERROR(IF(B$8=1,CAPEX_APPENDIX!D58,0),"")</f>
        <v/>
      </c>
      <c r="C39" s="241">
        <f>IFERROR(IF(C$8=1,CAPEX_APPENDIX!D58,0),"")</f>
        <v/>
      </c>
      <c r="D39" s="241">
        <f>IFERROR(IF(D$8=1,CAPEX_APPENDIX!D58,0),"")</f>
        <v/>
      </c>
      <c r="E39" s="241">
        <f>IFERROR(IF(E$8=1,CAPEX_APPENDIX!D58,0),"")</f>
        <v/>
      </c>
      <c r="F39" s="241">
        <f>IFERROR(IF(F$8=1,CAPEX_APPENDIX!D58,0),"")</f>
        <v/>
      </c>
      <c r="G39" s="241">
        <f>IFERROR(IF(G$8=1,CAPEX_APPENDIX!D58,0),"")</f>
        <v/>
      </c>
      <c r="H39" s="241">
        <f>IFERROR(IF(H$8=1,CAPEX_APPENDIX!D58,0),"")</f>
        <v/>
      </c>
      <c r="I39" s="241">
        <f>IFERROR(IF(I$8=1,CAPEX_APPENDIX!D58,0),"")</f>
        <v/>
      </c>
      <c r="J39" s="241">
        <f>IFERROR(IF(J$8=1,CAPEX_APPENDIX!D58,0),"")</f>
        <v/>
      </c>
      <c r="K39" s="241">
        <f>IFERROR(IF(K$8=1,CAPEX_APPENDIX!D58,0),"")</f>
        <v/>
      </c>
      <c r="L39" s="241">
        <f>IFERROR(SUM(B39:K39),"")</f>
        <v/>
      </c>
      <c r="M39" s="241" t="n"/>
      <c r="N39" s="241" t="n"/>
    </row>
    <row r="40" ht="32" customHeight="1" s="239">
      <c r="A40" s="187" t="inlineStr">
        <is>
          <t>Enhanced Sources - Uses Check</t>
        </is>
      </c>
      <c r="B40" s="241">
        <f>IFERROR(B13-B19,"")</f>
        <v/>
      </c>
      <c r="C40" s="187">
        <f>IFERROR(C13-C19,"")</f>
        <v/>
      </c>
      <c r="D40" s="241">
        <f>IFERROR(D13-D19,"")</f>
        <v/>
      </c>
      <c r="E40" s="187">
        <f>IFERROR(E13-E19,"")</f>
        <v/>
      </c>
      <c r="F40" s="241">
        <f>IFERROR(F13-F19,"")</f>
        <v/>
      </c>
      <c r="G40" s="187">
        <f>IFERROR(G13-G19,"")</f>
        <v/>
      </c>
      <c r="H40" s="241">
        <f>IFERROR(H13-H19,"")</f>
        <v/>
      </c>
      <c r="I40" s="187">
        <f>IFERROR(I13-I19,"")</f>
        <v/>
      </c>
      <c r="J40" s="241">
        <f>IFERROR(J13-J19,"")</f>
        <v/>
      </c>
      <c r="K40" s="241">
        <f>IFERROR(K13-K19,"")</f>
        <v/>
      </c>
      <c r="L40" s="241">
        <f>IFERROR(SUM(B40:K40),"")</f>
        <v/>
      </c>
      <c r="M40" s="241" t="n"/>
      <c r="N40" s="241" t="n"/>
    </row>
    <row r="41">
      <c r="A41" s="241" t="n"/>
      <c r="B41" s="241" t="n"/>
      <c r="C41" s="241" t="n"/>
      <c r="D41" s="241" t="n"/>
      <c r="E41" s="241" t="n"/>
      <c r="F41" s="241" t="n"/>
      <c r="G41" s="241" t="n"/>
      <c r="H41" s="241" t="n"/>
      <c r="I41" s="241" t="n"/>
      <c r="J41" s="241" t="n"/>
      <c r="K41" s="241" t="n"/>
      <c r="L41" s="241" t="n"/>
      <c r="M41" s="241" t="n"/>
      <c r="N41" s="241" t="n"/>
    </row>
    <row r="42" ht="16" customHeight="1" s="239">
      <c r="A42" s="173" t="inlineStr">
        <is>
          <t>Formulas used</t>
        </is>
      </c>
      <c r="B42" s="241" t="n"/>
      <c r="C42" s="241" t="n"/>
      <c r="D42" s="241" t="n"/>
      <c r="E42" s="241" t="n"/>
      <c r="F42" s="241" t="n"/>
      <c r="G42" s="241" t="n"/>
      <c r="H42" s="241" t="n"/>
      <c r="I42" s="241" t="n"/>
      <c r="J42" s="241" t="n"/>
      <c r="K42" s="241" t="n"/>
      <c r="L42" s="241" t="n"/>
      <c r="M42" s="241" t="n"/>
      <c r="N42" s="241" t="n"/>
    </row>
    <row r="43" ht="32" customHeight="1" s="239">
      <c r="A43" s="241" t="inlineStr">
        <is>
          <t>• Phase 1 debt loan links to ASSUMPTIONS!B5 in Year 1 only.</t>
        </is>
      </c>
      <c r="B43" s="241" t="n"/>
      <c r="C43" s="241" t="n"/>
      <c r="D43" s="241" t="n"/>
      <c r="E43" s="241" t="n"/>
      <c r="F43" s="241" t="n"/>
      <c r="G43" s="241" t="n"/>
      <c r="H43" s="241" t="n"/>
      <c r="I43" s="241" t="n"/>
      <c r="J43" s="241" t="n"/>
      <c r="K43" s="241" t="n"/>
      <c r="L43" s="241" t="n"/>
      <c r="M43" s="241" t="n"/>
      <c r="N43" s="241" t="n"/>
    </row>
    <row r="44" ht="48" customHeight="1" s="239">
      <c r="A44" s="241" t="inlineStr">
        <is>
          <t>• Phase 1 capex is linked from CAPEX_APPENDIX as Phase 1 line items plus the land line item in Year 1.</t>
        </is>
      </c>
      <c r="B44" s="241" t="n"/>
      <c r="C44" s="241" t="n"/>
      <c r="D44" s="241" t="n"/>
      <c r="E44" s="241" t="n"/>
      <c r="F44" s="241" t="n"/>
      <c r="G44" s="241" t="n"/>
      <c r="H44" s="241" t="n"/>
      <c r="I44" s="241" t="n"/>
      <c r="J44" s="241" t="n"/>
      <c r="K44" s="241" t="n"/>
      <c r="L44" s="241" t="n"/>
      <c r="M44" s="241" t="n"/>
      <c r="N44" s="241" t="n"/>
    </row>
    <row r="45" ht="48" customHeight="1" s="239">
      <c r="A45" s="241" t="inlineStr">
        <is>
          <t>• Phase 2 and Phase 3 capex are linked from CAPEX_APPENDIX using SUMIFS by Phase and Year.</t>
        </is>
      </c>
      <c r="B45" s="241" t="n"/>
      <c r="C45" s="241" t="n"/>
      <c r="D45" s="241" t="n"/>
      <c r="E45" s="241" t="n"/>
      <c r="F45" s="241" t="n"/>
      <c r="G45" s="241" t="n"/>
      <c r="H45" s="241" t="n"/>
      <c r="I45" s="241" t="n"/>
      <c r="J45" s="241" t="n"/>
      <c r="K45" s="241" t="n"/>
      <c r="L45" s="241" t="n"/>
      <c r="M45" s="241" t="n"/>
      <c r="N45" s="241" t="n"/>
    </row>
    <row r="46" ht="48" customHeight="1" s="239">
      <c r="A46" s="148" t="inlineStr">
        <is>
          <t>• Phase 2 and Phase 3 sources are mapped entirely to internal cash funding.</t>
        </is>
      </c>
      <c r="B46" s="241" t="n"/>
      <c r="C46" s="241" t="n"/>
      <c r="D46" s="241" t="n"/>
      <c r="E46" s="241" t="n"/>
      <c r="F46" s="241" t="n"/>
      <c r="G46" s="241" t="n"/>
      <c r="H46" s="241" t="n"/>
      <c r="I46" s="241" t="n"/>
      <c r="J46" s="241" t="n"/>
      <c r="K46" s="241" t="n"/>
      <c r="L46" s="241" t="n"/>
      <c r="M46" s="241" t="n"/>
      <c r="N46" s="241" t="n"/>
    </row>
    <row r="47" ht="80" customHeight="1" s="239">
      <c r="A47" s="241" t="inlineStr">
        <is>
          <t>• Support metrics link to CASH_FLOW rows for CFO, Debt Service, and Ending Cash to show coverage context without changing core model logic.</t>
        </is>
      </c>
      <c r="B47" s="241" t="n"/>
      <c r="C47" s="241" t="n"/>
      <c r="D47" s="241" t="n"/>
      <c r="E47" s="241" t="n"/>
      <c r="F47" s="241" t="n"/>
      <c r="G47" s="241" t="n"/>
      <c r="H47" s="241" t="n"/>
      <c r="I47" s="241" t="n"/>
      <c r="J47" s="241" t="n"/>
      <c r="K47" s="241" t="n"/>
      <c r="L47" s="241" t="n"/>
      <c r="M47" s="241" t="n"/>
      <c r="N47" s="241" t="n"/>
    </row>
    <row r="48">
      <c r="A48" s="241" t="n"/>
      <c r="B48" s="241" t="n"/>
      <c r="C48" s="241" t="n"/>
      <c r="D48" s="241" t="n"/>
      <c r="E48" s="241" t="n"/>
      <c r="F48" s="241" t="n"/>
      <c r="G48" s="241" t="n"/>
      <c r="H48" s="241" t="n"/>
      <c r="I48" s="241" t="n"/>
      <c r="J48" s="241" t="n"/>
      <c r="K48" s="241" t="n"/>
      <c r="L48" s="241" t="n"/>
      <c r="M48" s="241" t="n"/>
      <c r="N48" s="241" t="n"/>
    </row>
    <row r="49">
      <c r="A49" s="241" t="n"/>
      <c r="B49" s="241" t="n"/>
      <c r="C49" s="241" t="n"/>
      <c r="D49" s="241" t="n"/>
      <c r="E49" s="241" t="n"/>
      <c r="F49" s="241" t="n"/>
      <c r="G49" s="241" t="n"/>
      <c r="H49" s="241" t="n"/>
      <c r="I49" s="241" t="n"/>
      <c r="J49" s="241" t="n"/>
      <c r="K49" s="241" t="n"/>
      <c r="L49" s="241" t="n"/>
      <c r="M49" s="241" t="n"/>
      <c r="N49" s="241" t="n"/>
    </row>
    <row r="50" ht="16" customHeight="1" s="239">
      <c r="A50" s="188" t="inlineStr">
        <is>
          <t>Note</t>
        </is>
      </c>
      <c r="B50" s="241" t="n"/>
      <c r="C50" s="241" t="n"/>
      <c r="D50" s="241" t="n"/>
      <c r="E50" s="241" t="n"/>
      <c r="F50" s="241" t="n"/>
      <c r="G50" s="241" t="n"/>
      <c r="H50" s="241" t="n"/>
      <c r="I50" s="241" t="n"/>
      <c r="J50" s="241" t="n"/>
      <c r="K50" s="241" t="n"/>
      <c r="L50" s="241" t="n"/>
      <c r="M50" s="241" t="n"/>
      <c r="N50" s="241" t="n"/>
    </row>
    <row r="51">
      <c r="A51" s="241" t="n"/>
      <c r="B51" s="241" t="n"/>
      <c r="C51" s="241" t="n"/>
      <c r="D51" s="241" t="n"/>
      <c r="E51" s="241" t="n"/>
      <c r="F51" s="241" t="n"/>
      <c r="G51" s="241" t="n"/>
      <c r="H51" s="241" t="n"/>
      <c r="I51" s="241" t="n"/>
      <c r="J51" s="241" t="n"/>
      <c r="K51" s="241" t="n"/>
      <c r="L51" s="241" t="n"/>
      <c r="M51" s="241" t="n"/>
      <c r="N51" s="241" t="n"/>
    </row>
    <row r="52">
      <c r="A52" s="241" t="n"/>
      <c r="B52" s="241" t="n"/>
      <c r="C52" s="241" t="n"/>
      <c r="D52" s="241" t="n"/>
      <c r="E52" s="241" t="n"/>
      <c r="F52" s="241" t="n"/>
      <c r="G52" s="241" t="n"/>
      <c r="H52" s="241" t="n"/>
      <c r="I52" s="241" t="n"/>
      <c r="J52" s="241" t="n"/>
      <c r="K52" s="241" t="n"/>
      <c r="L52" s="241" t="n"/>
      <c r="M52" s="241" t="n"/>
      <c r="N52" s="241" t="n"/>
    </row>
    <row r="53" ht="16" customHeight="1" s="239">
      <c r="A53" s="141" t="inlineStr">
        <is>
          <t>Debt Schedule</t>
        </is>
      </c>
      <c r="B53" s="142" t="n"/>
      <c r="C53" s="142" t="n"/>
      <c r="D53" s="142" t="n"/>
      <c r="E53" s="142" t="n"/>
      <c r="F53" s="142" t="n"/>
      <c r="G53" s="142" t="n"/>
      <c r="H53" s="142" t="n"/>
      <c r="I53" s="142" t="n"/>
      <c r="J53" s="142" t="n"/>
      <c r="K53" s="142" t="n"/>
      <c r="L53" s="241" t="n"/>
      <c r="M53" s="241" t="n"/>
      <c r="N53" s="241" t="n"/>
    </row>
    <row r="54">
      <c r="A54" s="241" t="n"/>
      <c r="B54" s="241" t="n"/>
      <c r="C54" s="241" t="n"/>
      <c r="D54" s="241" t="n"/>
      <c r="E54" s="241" t="n"/>
      <c r="F54" s="241" t="n"/>
      <c r="G54" s="241" t="n"/>
      <c r="H54" s="241" t="n"/>
      <c r="I54" s="241" t="n"/>
      <c r="J54" s="241" t="n"/>
      <c r="K54" s="241" t="n"/>
      <c r="L54" s="241" t="n"/>
      <c r="M54" s="241" t="n"/>
      <c r="N54" s="241" t="n"/>
    </row>
    <row r="55">
      <c r="A55" s="241" t="n"/>
      <c r="B55" s="241" t="n"/>
      <c r="C55" s="241" t="n"/>
      <c r="D55" s="241" t="n"/>
      <c r="E55" s="241" t="n"/>
      <c r="F55" s="241" t="n"/>
      <c r="G55" s="241" t="n"/>
      <c r="H55" s="241" t="n"/>
      <c r="I55" s="241" t="n"/>
      <c r="J55" s="241" t="n"/>
      <c r="K55" s="241" t="n"/>
      <c r="L55" s="241" t="n"/>
      <c r="M55" s="241" t="n"/>
      <c r="N55" s="241" t="n"/>
    </row>
    <row r="56" ht="32" customHeight="1" s="239">
      <c r="A56" s="144" t="inlineStr">
        <is>
          <t>Year</t>
        </is>
      </c>
      <c r="B56" s="144" t="inlineStr">
        <is>
          <t>Opening_Bal</t>
        </is>
      </c>
      <c r="C56" s="144" t="inlineStr">
        <is>
          <t>CFADS</t>
        </is>
      </c>
      <c r="D56" s="144" t="inlineStr">
        <is>
          <t>Interest</t>
        </is>
      </c>
      <c r="E56" s="144" t="inlineStr">
        <is>
          <t>Remaining_Term</t>
        </is>
      </c>
      <c r="F56" s="144" t="inlineStr">
        <is>
          <t>Base_Debt_Service</t>
        </is>
      </c>
      <c r="G56" s="144" t="inlineStr">
        <is>
          <t>Debt_Service</t>
        </is>
      </c>
      <c r="H56" s="144" t="inlineStr">
        <is>
          <t>Principal</t>
        </is>
      </c>
      <c r="I56" s="144" t="inlineStr">
        <is>
          <t>Closing_Bal</t>
        </is>
      </c>
      <c r="J56" s="144" t="inlineStr">
        <is>
          <t>DSCR</t>
        </is>
      </c>
      <c r="K56" s="144" t="inlineStr">
        <is>
          <t>Covenant_Flag</t>
        </is>
      </c>
      <c r="L56" s="241" t="n"/>
      <c r="M56" s="241" t="n"/>
      <c r="N56" s="241" t="n"/>
    </row>
    <row r="57" ht="16" customHeight="1" s="239">
      <c r="A57" s="189" t="n">
        <v>1</v>
      </c>
      <c r="B57" s="140">
        <f>IFERROR(ASSUMPTIONS!$B$5,"")</f>
        <v/>
      </c>
      <c r="C57" s="140">
        <f>IFERROR(PNL!B22,"")</f>
        <v/>
      </c>
      <c r="D57" s="140">
        <f>IFERROR(B57*ASSUMPTIONS!$B$6,"")</f>
        <v/>
      </c>
      <c r="E57" s="140">
        <f>IFERROR(MAX(0,ASSUMPTIONS!$B$7-A57+1),"")</f>
        <v/>
      </c>
      <c r="F57" s="140">
        <f>IFERROR(IF(A57&lt;=ASSUMPTIONS!$B$8,0,IF(E57=0,0,-PMT(ASSUMPTIONS!$B$6,E57,B57))),"")</f>
        <v/>
      </c>
      <c r="G57" s="140">
        <f>IFERROR(IF(A57&lt;=ASSUMPTIONS!$B$8,0,MIN(B57+D57,F57,MAX(0,C57/ASSUMPTIONS!$B$16))),"")</f>
        <v/>
      </c>
      <c r="H57" s="140">
        <f>IFERROR(MAX(0,G57-D57),"")</f>
        <v/>
      </c>
      <c r="I57" s="140">
        <f>IFERROR(MAX(0,B57+D57-G57),"")</f>
        <v/>
      </c>
      <c r="J57" s="140">
        <f>IFERROR(IF(G57=0,"",C57/G57),"")</f>
        <v/>
      </c>
      <c r="K57" s="140">
        <f>IFERROR(IF(AND(I57&gt;0,J57&lt;ASSUMPTIONS!$B$16),"BREACH","OK"),"")</f>
        <v/>
      </c>
      <c r="L57" s="241" t="n"/>
      <c r="M57" s="241" t="n"/>
      <c r="N57" s="241" t="n"/>
    </row>
    <row r="58" ht="16" customHeight="1" s="239">
      <c r="A58" s="189" t="n">
        <v>2</v>
      </c>
      <c r="B58" s="140">
        <f>IFERROR(I57,"")</f>
        <v/>
      </c>
      <c r="C58" s="140">
        <f>IFERROR(PNL!C22,"")</f>
        <v/>
      </c>
      <c r="D58" s="140">
        <f>IFERROR(B58*ASSUMPTIONS!$B$6,"")</f>
        <v/>
      </c>
      <c r="E58" s="140">
        <f>IFERROR(MAX(0,ASSUMPTIONS!$B$7-A58+1),"")</f>
        <v/>
      </c>
      <c r="F58" s="140">
        <f>IFERROR(IF(A58&lt;=ASSUMPTIONS!$B$8,0,IF(E58=0,0,-PMT(ASSUMPTIONS!$B$6,E58,B58))),"")</f>
        <v/>
      </c>
      <c r="G58" s="140">
        <f>IFERROR(IF(A58&lt;=ASSUMPTIONS!$B$8,0,MIN(B58+D58,F58,MAX(0,C58/ASSUMPTIONS!$B$16))),"")</f>
        <v/>
      </c>
      <c r="H58" s="140">
        <f>IFERROR(MAX(0,G58-D58),"")</f>
        <v/>
      </c>
      <c r="I58" s="140">
        <f>IFERROR(MAX(0,B58+D58-G58),"")</f>
        <v/>
      </c>
      <c r="J58" s="140">
        <f>IFERROR(IF(G58=0,"",C58/G58),"")</f>
        <v/>
      </c>
      <c r="K58" s="140">
        <f>IFERROR(IF(AND(I58&gt;0,J58&lt;ASSUMPTIONS!$B$16),"BREACH","OK"),"")</f>
        <v/>
      </c>
      <c r="L58" s="241" t="n"/>
      <c r="M58" s="241" t="n"/>
      <c r="N58" s="241" t="n"/>
    </row>
    <row r="59" ht="16" customHeight="1" s="239">
      <c r="A59" s="189" t="n">
        <v>3</v>
      </c>
      <c r="B59" s="140">
        <f>IFERROR(I58,"")</f>
        <v/>
      </c>
      <c r="C59" s="140">
        <f>IFERROR(PNL!D22,"")</f>
        <v/>
      </c>
      <c r="D59" s="140">
        <f>IFERROR(B59*ASSUMPTIONS!$B$6,"")</f>
        <v/>
      </c>
      <c r="E59" s="140">
        <f>IFERROR(MAX(0,ASSUMPTIONS!$B$7-A59+1),"")</f>
        <v/>
      </c>
      <c r="F59" s="140">
        <f>IFERROR(IF(A59&lt;=ASSUMPTIONS!$B$8,0,IF(E59=0,0,-PMT(ASSUMPTIONS!$B$6,E59,B59))),"")</f>
        <v/>
      </c>
      <c r="G59" s="140">
        <f>IFERROR(IF(A59&lt;=ASSUMPTIONS!$B$8,0,MIN(B59+D59,F59,MAX(0,C59/ASSUMPTIONS!$B$16))),"")</f>
        <v/>
      </c>
      <c r="H59" s="140">
        <f>IFERROR(MAX(0,G59-D59),"")</f>
        <v/>
      </c>
      <c r="I59" s="140">
        <f>IFERROR(MAX(0,B59+D59-G59),"")</f>
        <v/>
      </c>
      <c r="J59" s="140">
        <f>IFERROR(IF(G59=0,"",C59/G59),"")</f>
        <v/>
      </c>
      <c r="K59" s="140">
        <f>IFERROR(IF(AND(I59&gt;0,J59&lt;ASSUMPTIONS!$B$16),"BREACH","OK"),"")</f>
        <v/>
      </c>
      <c r="L59" s="241" t="n"/>
      <c r="M59" s="241" t="n"/>
      <c r="N59" s="241" t="n"/>
    </row>
    <row r="60" ht="16" customHeight="1" s="239">
      <c r="A60" s="189" t="n">
        <v>4</v>
      </c>
      <c r="B60" s="140">
        <f>IFERROR(I59,"")</f>
        <v/>
      </c>
      <c r="C60" s="140">
        <f>IFERROR(PNL!E22,"")</f>
        <v/>
      </c>
      <c r="D60" s="140">
        <f>IFERROR(B60*ASSUMPTIONS!$B$6,"")</f>
        <v/>
      </c>
      <c r="E60" s="140">
        <f>IFERROR(MAX(0,ASSUMPTIONS!$B$7-A60+1),"")</f>
        <v/>
      </c>
      <c r="F60" s="140">
        <f>IFERROR(IF(A60&lt;=ASSUMPTIONS!$B$8,0,IF(E60=0,0,-PMT(ASSUMPTIONS!$B$6,E60,B60))),"")</f>
        <v/>
      </c>
      <c r="G60" s="140">
        <f>IFERROR(IF(A60&lt;=ASSUMPTIONS!$B$8,0,MIN(B60+D60,F60,MAX(0,C60/ASSUMPTIONS!$B$16))),"")</f>
        <v/>
      </c>
      <c r="H60" s="140">
        <f>IFERROR(MAX(0,G60-D60),"")</f>
        <v/>
      </c>
      <c r="I60" s="140">
        <f>IFERROR(MAX(0,B60+D60-G60),"")</f>
        <v/>
      </c>
      <c r="J60" s="140">
        <f>IFERROR(IF(G60=0,"",C60/G60),"")</f>
        <v/>
      </c>
      <c r="K60" s="140">
        <f>IFERROR(IF(AND(I60&gt;0,J60&lt;ASSUMPTIONS!$B$16),"BREACH","OK"),"")</f>
        <v/>
      </c>
      <c r="L60" s="241" t="n"/>
      <c r="M60" s="241" t="n"/>
      <c r="N60" s="241" t="n"/>
    </row>
    <row r="61" ht="16" customHeight="1" s="239">
      <c r="A61" s="189" t="n">
        <v>5</v>
      </c>
      <c r="B61" s="140">
        <f>IFERROR(I60,"")</f>
        <v/>
      </c>
      <c r="C61" s="140">
        <f>IFERROR(PNL!F22,"")</f>
        <v/>
      </c>
      <c r="D61" s="140">
        <f>IFERROR(B61*ASSUMPTIONS!$B$6,"")</f>
        <v/>
      </c>
      <c r="E61" s="140">
        <f>IFERROR(MAX(0,ASSUMPTIONS!$B$7-A61+1),"")</f>
        <v/>
      </c>
      <c r="F61" s="140">
        <f>IFERROR(IF(A61&lt;=ASSUMPTIONS!$B$8,0,IF(E61=0,0,-PMT(ASSUMPTIONS!$B$6,E61,B61))),"")</f>
        <v/>
      </c>
      <c r="G61" s="140">
        <f>IFERROR(IF(A61&lt;=ASSUMPTIONS!$B$8,0,MIN(B61+D61,F61,MAX(0,C61/ASSUMPTIONS!$B$16))),"")</f>
        <v/>
      </c>
      <c r="H61" s="140">
        <f>IFERROR(MAX(0,G61-D61),"")</f>
        <v/>
      </c>
      <c r="I61" s="140">
        <f>IFERROR(MAX(0,B61+D61-G61),"")</f>
        <v/>
      </c>
      <c r="J61" s="140">
        <f>IFERROR(IF(G61=0,"",C61/G61),"")</f>
        <v/>
      </c>
      <c r="K61" s="140">
        <f>IFERROR(IF(AND(I61&gt;0,J61&lt;ASSUMPTIONS!$B$16),"BREACH","OK"),"")</f>
        <v/>
      </c>
      <c r="L61" s="241" t="n"/>
      <c r="M61" s="241" t="n"/>
      <c r="N61" s="241" t="n"/>
    </row>
    <row r="62" ht="16" customHeight="1" s="239">
      <c r="A62" s="189" t="n">
        <v>6</v>
      </c>
      <c r="B62" s="140">
        <f>IFERROR(I61,"")</f>
        <v/>
      </c>
      <c r="C62" s="140">
        <f>IFERROR(PNL!G22,"")</f>
        <v/>
      </c>
      <c r="D62" s="140">
        <f>IFERROR(B62*ASSUMPTIONS!$B$6,"")</f>
        <v/>
      </c>
      <c r="E62" s="140">
        <f>IFERROR(MAX(0,ASSUMPTIONS!$B$7-A62+1),"")</f>
        <v/>
      </c>
      <c r="F62" s="140">
        <f>IFERROR(IF(A62&lt;=ASSUMPTIONS!$B$8,0,IF(E62=0,0,-PMT(ASSUMPTIONS!$B$6,E62,B62))),"")</f>
        <v/>
      </c>
      <c r="G62" s="140">
        <f>IFERROR(IF(A62&lt;=ASSUMPTIONS!$B$8,0,MIN(B62+D62,F62,MAX(0,C62/ASSUMPTIONS!$B$16))),"")</f>
        <v/>
      </c>
      <c r="H62" s="140">
        <f>IFERROR(MAX(0,G62-D62),"")</f>
        <v/>
      </c>
      <c r="I62" s="140">
        <f>IFERROR(MAX(0,B62+D62-G62),"")</f>
        <v/>
      </c>
      <c r="J62" s="140">
        <f>IFERROR(IF(G62=0,"",C62/G62),"")</f>
        <v/>
      </c>
      <c r="K62" s="140">
        <f>IFERROR(IF(AND(I62&gt;0,J62&lt;ASSUMPTIONS!$B$16),"BREACH","OK"),"")</f>
        <v/>
      </c>
      <c r="L62" s="241" t="n"/>
      <c r="M62" s="241" t="n"/>
      <c r="N62" s="241" t="n"/>
    </row>
    <row r="63" ht="16" customHeight="1" s="239">
      <c r="A63" s="189" t="n">
        <v>7</v>
      </c>
      <c r="B63" s="140">
        <f>IFERROR(I62,"")</f>
        <v/>
      </c>
      <c r="C63" s="140">
        <f>IFERROR(PNL!H22,"")</f>
        <v/>
      </c>
      <c r="D63" s="140">
        <f>IFERROR(B63*ASSUMPTIONS!$B$6,"")</f>
        <v/>
      </c>
      <c r="E63" s="140">
        <f>IFERROR(MAX(0,ASSUMPTIONS!$B$7-A63+1),"")</f>
        <v/>
      </c>
      <c r="F63" s="140">
        <f>IFERROR(IF(A63&lt;=ASSUMPTIONS!$B$8,0,IF(E63=0,0,-PMT(ASSUMPTIONS!$B$6,E63,B63))),"")</f>
        <v/>
      </c>
      <c r="G63" s="140">
        <f>IFERROR(IF(A63&lt;=ASSUMPTIONS!$B$8,0,MIN(B63+D63,F63,MAX(0,C63/ASSUMPTIONS!$B$16))),"")</f>
        <v/>
      </c>
      <c r="H63" s="140">
        <f>IFERROR(MAX(0,G63-D63),"")</f>
        <v/>
      </c>
      <c r="I63" s="140">
        <f>IFERROR(MAX(0,B63+D63-G63),"")</f>
        <v/>
      </c>
      <c r="J63" s="140">
        <f>IFERROR(IF(G63=0,"",C63/G63),"")</f>
        <v/>
      </c>
      <c r="K63" s="140">
        <f>IFERROR(IF(AND(I63&gt;0,J63&lt;ASSUMPTIONS!$B$16),"BREACH","OK"),"")</f>
        <v/>
      </c>
      <c r="L63" s="241" t="n"/>
      <c r="M63" s="241" t="n"/>
      <c r="N63" s="241" t="n"/>
    </row>
    <row r="64" ht="16" customHeight="1" s="239">
      <c r="A64" s="189" t="n">
        <v>8</v>
      </c>
      <c r="B64" s="140">
        <f>IFERROR(I63,"")</f>
        <v/>
      </c>
      <c r="C64" s="140">
        <f>IFERROR(PNL!I22,"")</f>
        <v/>
      </c>
      <c r="D64" s="140">
        <f>IFERROR(B64*ASSUMPTIONS!$B$6,"")</f>
        <v/>
      </c>
      <c r="E64" s="140">
        <f>IFERROR(MAX(0,ASSUMPTIONS!$B$7-A64+1),"")</f>
        <v/>
      </c>
      <c r="F64" s="140">
        <f>IFERROR(IF(A64&lt;=ASSUMPTIONS!$B$8,0,IF(E64=0,0,-PMT(ASSUMPTIONS!$B$6,E64,B64))),"")</f>
        <v/>
      </c>
      <c r="G64" s="140">
        <f>IFERROR(IF(A64&lt;=ASSUMPTIONS!$B$8,0,MIN(B64+D64,F64,MAX(0,C64/ASSUMPTIONS!$B$16))),"")</f>
        <v/>
      </c>
      <c r="H64" s="140">
        <f>IFERROR(MAX(0,G64-D64),"")</f>
        <v/>
      </c>
      <c r="I64" s="140">
        <f>IFERROR(MAX(0,B64+D64-G64),"")</f>
        <v/>
      </c>
      <c r="J64" s="140">
        <f>IFERROR(IF(G64=0,"",C64/G64),"")</f>
        <v/>
      </c>
      <c r="K64" s="140">
        <f>IFERROR(IF(AND(I64&gt;0,J64&lt;ASSUMPTIONS!$B$16),"BREACH","OK"),"")</f>
        <v/>
      </c>
      <c r="L64" s="241" t="n"/>
      <c r="M64" s="241" t="n"/>
      <c r="N64" s="241" t="n"/>
    </row>
    <row r="65" ht="16" customHeight="1" s="239">
      <c r="A65" s="189" t="n">
        <v>9</v>
      </c>
      <c r="B65" s="140">
        <f>IFERROR(I64,"")</f>
        <v/>
      </c>
      <c r="C65" s="140">
        <f>IFERROR(PNL!J22,"")</f>
        <v/>
      </c>
      <c r="D65" s="140">
        <f>IFERROR(B65*ASSUMPTIONS!$B$6,"")</f>
        <v/>
      </c>
      <c r="E65" s="140">
        <f>IFERROR(MAX(0,ASSUMPTIONS!$B$7-A65+1),"")</f>
        <v/>
      </c>
      <c r="F65" s="140">
        <f>IFERROR(IF(A65&lt;=ASSUMPTIONS!$B$8,0,IF(E65=0,0,-PMT(ASSUMPTIONS!$B$6,E65,B65))),"")</f>
        <v/>
      </c>
      <c r="G65" s="140">
        <f>IFERROR(IF(A65&lt;=ASSUMPTIONS!$B$8,0,MIN(B65+D65,F65,MAX(0,C65/ASSUMPTIONS!$B$16))),"")</f>
        <v/>
      </c>
      <c r="H65" s="140">
        <f>IFERROR(MAX(0,G65-D65),"")</f>
        <v/>
      </c>
      <c r="I65" s="140">
        <f>IFERROR(MAX(0,B65+D65-G65),"")</f>
        <v/>
      </c>
      <c r="J65" s="140">
        <f>IFERROR(IF(G65=0,"",C65/G65),"")</f>
        <v/>
      </c>
      <c r="K65" s="140">
        <f>IFERROR(IF(AND(I65&gt;0,J65&lt;ASSUMPTIONS!$B$16),"BREACH","OK"),"")</f>
        <v/>
      </c>
      <c r="L65" s="241" t="n"/>
      <c r="M65" s="241" t="n"/>
      <c r="N65" s="241" t="n"/>
    </row>
    <row r="66" ht="16" customHeight="1" s="239">
      <c r="A66" s="189" t="n">
        <v>10</v>
      </c>
      <c r="B66" s="140">
        <f>IFERROR(I65,"")</f>
        <v/>
      </c>
      <c r="C66" s="140">
        <f>IFERROR(PNL!K22,"")</f>
        <v/>
      </c>
      <c r="D66" s="140">
        <f>IFERROR(B66*ASSUMPTIONS!$B$6,"")</f>
        <v/>
      </c>
      <c r="E66" s="140">
        <f>IFERROR(MAX(0,ASSUMPTIONS!$B$7-A66+1),"")</f>
        <v/>
      </c>
      <c r="F66" s="140">
        <f>IFERROR(IF(A66&lt;=ASSUMPTIONS!$B$8,0,IF(E66=0,0,-PMT(ASSUMPTIONS!$B$6,E66,B66))),"")</f>
        <v/>
      </c>
      <c r="G66" s="140">
        <f>IFERROR(IF(A66&lt;=ASSUMPTIONS!$B$8,0,MIN(B66+D66,F66,MAX(0,C66/ASSUMPTIONS!$B$16))),"")</f>
        <v/>
      </c>
      <c r="H66" s="140">
        <f>IFERROR(MAX(0,G66-D66),"")</f>
        <v/>
      </c>
      <c r="I66" s="140">
        <f>IFERROR(MAX(0,B66+D66-G66),"")</f>
        <v/>
      </c>
      <c r="J66" s="140">
        <f>IFERROR(IF(G66=0,"",C66/G66),"")</f>
        <v/>
      </c>
      <c r="K66" s="140">
        <f>IFERROR(IF(AND(I66&gt;0,J66&lt;ASSUMPTIONS!$B$16),"BREACH","OK"),"")</f>
        <v/>
      </c>
      <c r="L66" s="241" t="n"/>
      <c r="M66" s="241" t="n"/>
      <c r="N66" s="241" t="n"/>
    </row>
    <row r="67">
      <c r="A67" s="241" t="n"/>
      <c r="B67" s="241" t="n"/>
      <c r="C67" s="241" t="n"/>
      <c r="D67" s="241" t="n"/>
      <c r="E67" s="241" t="n"/>
      <c r="F67" s="241" t="n"/>
      <c r="G67" s="241" t="n"/>
      <c r="H67" s="241" t="n"/>
      <c r="I67" s="241" t="n"/>
      <c r="J67" s="241" t="n"/>
      <c r="K67" s="241" t="n"/>
      <c r="L67" s="241" t="n"/>
      <c r="M67" s="241" t="n"/>
      <c r="N67" s="241" t="n"/>
    </row>
    <row r="68" ht="16" customHeight="1" s="239">
      <c r="A68" s="146" t="inlineStr">
        <is>
          <t>Total</t>
        </is>
      </c>
      <c r="B68" s="241" t="n"/>
      <c r="C68" s="241" t="n"/>
      <c r="D68" s="140">
        <f>IFERROR(SUM(D6:D13),"")</f>
        <v/>
      </c>
      <c r="E68" s="241" t="n"/>
      <c r="F68" s="241" t="n"/>
      <c r="G68" s="140">
        <f>IFERROR(SUM(G4:G13),"")</f>
        <v/>
      </c>
      <c r="H68" s="140">
        <f>IFERROR(SUM(H4:H13),"")</f>
        <v/>
      </c>
      <c r="I68" s="241" t="n"/>
      <c r="J68" s="241" t="n"/>
      <c r="K68" s="241" t="n"/>
      <c r="L68" s="241" t="n"/>
      <c r="M68" s="241" t="n"/>
      <c r="N68" s="241" t="n"/>
    </row>
    <row r="69">
      <c r="A69" s="241" t="n"/>
      <c r="B69" s="241" t="n"/>
      <c r="C69" s="241" t="n"/>
      <c r="D69" s="241" t="n"/>
      <c r="E69" s="241" t="n"/>
      <c r="F69" s="241" t="n"/>
      <c r="G69" s="241" t="n"/>
      <c r="H69" s="241" t="n"/>
      <c r="I69" s="241" t="n"/>
      <c r="J69" s="241" t="n"/>
      <c r="K69" s="241" t="n"/>
      <c r="L69" s="241" t="n"/>
      <c r="M69" s="241" t="n"/>
      <c r="N69" s="241" t="n"/>
    </row>
    <row r="70">
      <c r="A70" s="241" t="n"/>
      <c r="B70" s="241" t="n"/>
      <c r="C70" s="241" t="n"/>
      <c r="D70" s="241" t="n"/>
      <c r="E70" s="241" t="n"/>
      <c r="F70" s="241" t="n"/>
      <c r="G70" s="140" t="n"/>
      <c r="H70" s="241" t="n"/>
      <c r="I70" s="241" t="n"/>
      <c r="J70" s="241" t="n"/>
      <c r="K70" s="241" t="n"/>
      <c r="L70" s="241" t="n"/>
      <c r="M70" s="241" t="n"/>
      <c r="N70" s="241" t="n"/>
    </row>
    <row r="71">
      <c r="A71" s="241" t="n"/>
      <c r="B71" s="241" t="n"/>
      <c r="C71" s="241" t="n"/>
      <c r="D71" s="241" t="n"/>
      <c r="E71" s="241" t="n"/>
      <c r="F71" s="140" t="n"/>
      <c r="G71" s="241" t="n"/>
      <c r="H71" s="241" t="n"/>
      <c r="I71" s="241" t="n"/>
      <c r="J71" s="241" t="n"/>
      <c r="K71" s="241" t="n"/>
      <c r="L71" s="241" t="n"/>
      <c r="M71" s="241" t="n"/>
      <c r="N71" s="241" t="n"/>
    </row>
    <row r="74">
      <c r="A74" s="265" t="inlineStr">
        <is>
          <t>Debt Service Reserve Account - Optional</t>
        </is>
      </c>
    </row>
    <row r="75">
      <c r="A75" s="265" t="inlineStr">
        <is>
          <t>Line Item</t>
        </is>
      </c>
      <c r="B75" s="265" t="inlineStr">
        <is>
          <t>Y1</t>
        </is>
      </c>
      <c r="C75" s="265" t="inlineStr">
        <is>
          <t>Y2</t>
        </is>
      </c>
      <c r="D75" s="265" t="inlineStr">
        <is>
          <t>Y3</t>
        </is>
      </c>
      <c r="E75" s="265" t="inlineStr">
        <is>
          <t>Y4</t>
        </is>
      </c>
      <c r="F75" s="265" t="inlineStr">
        <is>
          <t>Y5</t>
        </is>
      </c>
      <c r="G75" s="265" t="inlineStr">
        <is>
          <t>Y6</t>
        </is>
      </c>
      <c r="H75" s="265" t="inlineStr">
        <is>
          <t>Y7</t>
        </is>
      </c>
      <c r="I75" s="265" t="inlineStr">
        <is>
          <t>Y8</t>
        </is>
      </c>
      <c r="J75" s="265" t="inlineStr">
        <is>
          <t>Y9</t>
        </is>
      </c>
      <c r="K75" s="265" t="inlineStr">
        <is>
          <t>Y10</t>
        </is>
      </c>
    </row>
    <row r="76">
      <c r="A76" s="394" t="inlineStr">
        <is>
          <t>Opening DSRA</t>
        </is>
      </c>
      <c r="B76" t="inlineStr">
        <is>
          <t>0</t>
        </is>
      </c>
      <c r="C76">
        <f>IFERROR(B80,"")</f>
        <v/>
      </c>
      <c r="D76">
        <f>IFERROR(C80,"")</f>
        <v/>
      </c>
      <c r="E76">
        <f>IFERROR(D80,"")</f>
        <v/>
      </c>
      <c r="F76">
        <f>IFERROR(E80,"")</f>
        <v/>
      </c>
      <c r="G76">
        <f>IFERROR(F80,"")</f>
        <v/>
      </c>
      <c r="H76">
        <f>IFERROR(G80,"")</f>
        <v/>
      </c>
      <c r="I76">
        <f>IFERROR(H80,"")</f>
        <v/>
      </c>
      <c r="J76">
        <f>IFERROR(I80,"")</f>
        <v/>
      </c>
      <c r="K76">
        <f>IFERROR(J80,"")</f>
        <v/>
      </c>
    </row>
    <row r="77">
      <c r="A77" s="394" t="inlineStr">
        <is>
          <t>Required DSRA</t>
        </is>
      </c>
      <c r="B77">
        <f>IFERROR(IF(ASSUMPTIONS!$N$9="Enabled",FUNDING_DEBT!G57/12*ASSUMPTIONS!$N$10,0),"")</f>
        <v/>
      </c>
      <c r="C77">
        <f>IFERROR(IF(ASSUMPTIONS!$N$9="Enabled",FUNDING_DEBT!G58/12*ASSUMPTIONS!$N$10,0),"")</f>
        <v/>
      </c>
      <c r="D77">
        <f>IFERROR(IF(ASSUMPTIONS!$N$9="Enabled",FUNDING_DEBT!G59/12*ASSUMPTIONS!$N$10,0),"")</f>
        <v/>
      </c>
      <c r="E77">
        <f>IFERROR(IF(ASSUMPTIONS!$N$9="Enabled",FUNDING_DEBT!G60/12*ASSUMPTIONS!$N$10,0),"")</f>
        <v/>
      </c>
      <c r="F77">
        <f>IFERROR(IF(ASSUMPTIONS!$N$9="Enabled",FUNDING_DEBT!G61/12*ASSUMPTIONS!$N$10,0),"")</f>
        <v/>
      </c>
      <c r="G77">
        <f>IFERROR(IF(ASSUMPTIONS!$N$9="Enabled",FUNDING_DEBT!G62/12*ASSUMPTIONS!$N$10,0),"")</f>
        <v/>
      </c>
      <c r="H77">
        <f>IFERROR(IF(ASSUMPTIONS!$N$9="Enabled",FUNDING_DEBT!G63/12*ASSUMPTIONS!$N$10,0),"")</f>
        <v/>
      </c>
      <c r="I77">
        <f>IFERROR(IF(ASSUMPTIONS!$N$9="Enabled",FUNDING_DEBT!G64/12*ASSUMPTIONS!$N$10,0),"")</f>
        <v/>
      </c>
      <c r="J77">
        <f>IFERROR(IF(ASSUMPTIONS!$N$9="Enabled",FUNDING_DEBT!G65/12*ASSUMPTIONS!$N$10,0),"")</f>
        <v/>
      </c>
      <c r="K77">
        <f>IFERROR(IF(ASSUMPTIONS!$N$9="Enabled",FUNDING_DEBT!G66/12*ASSUMPTIONS!$N$10,0),"")</f>
        <v/>
      </c>
    </row>
    <row r="78">
      <c r="A78" s="394" t="inlineStr">
        <is>
          <t>Funding</t>
        </is>
      </c>
      <c r="B78">
        <f>IFERROR(MAX(0,B77-B76),"")</f>
        <v/>
      </c>
      <c r="C78">
        <f>IFERROR(MAX(0,C77-C76),"")</f>
        <v/>
      </c>
      <c r="D78">
        <f>IFERROR(MAX(0,D77-D76),"")</f>
        <v/>
      </c>
      <c r="E78">
        <f>IFERROR(MAX(0,E77-E76),"")</f>
        <v/>
      </c>
      <c r="F78">
        <f>IFERROR(MAX(0,F77-F76),"")</f>
        <v/>
      </c>
      <c r="G78">
        <f>IFERROR(MAX(0,G77-G76),"")</f>
        <v/>
      </c>
      <c r="H78">
        <f>IFERROR(MAX(0,H77-H76),"")</f>
        <v/>
      </c>
      <c r="I78">
        <f>IFERROR(MAX(0,I77-I76),"")</f>
        <v/>
      </c>
      <c r="J78">
        <f>IFERROR(MAX(0,J77-J76),"")</f>
        <v/>
      </c>
      <c r="K78">
        <f>IFERROR(MAX(0,K77-K76),"")</f>
        <v/>
      </c>
    </row>
    <row r="79">
      <c r="A79" s="394" t="inlineStr">
        <is>
          <t>Utilization</t>
        </is>
      </c>
      <c r="B79">
        <f>IFERROR(0,"")</f>
        <v/>
      </c>
      <c r="C79">
        <f>IFERROR(0,"")</f>
        <v/>
      </c>
      <c r="D79">
        <f>IFERROR(0,"")</f>
        <v/>
      </c>
      <c r="E79">
        <f>IFERROR(0,"")</f>
        <v/>
      </c>
      <c r="F79">
        <f>IFERROR(0,"")</f>
        <v/>
      </c>
      <c r="G79">
        <f>IFERROR(0,"")</f>
        <v/>
      </c>
      <c r="H79">
        <f>IFERROR(0,"")</f>
        <v/>
      </c>
      <c r="I79">
        <f>IFERROR(0,"")</f>
        <v/>
      </c>
      <c r="J79">
        <f>IFERROR(0,"")</f>
        <v/>
      </c>
      <c r="K79">
        <f>IFERROR(0,"")</f>
        <v/>
      </c>
    </row>
    <row r="80">
      <c r="A80" s="394" t="inlineStr">
        <is>
          <t>Closing DSRA</t>
        </is>
      </c>
      <c r="B80">
        <f>IFERROR(B76+B78-B79,"")</f>
        <v/>
      </c>
      <c r="C80">
        <f>IFERROR(C76+C78-C79,"")</f>
        <v/>
      </c>
      <c r="D80">
        <f>IFERROR(D76+D78-D79,"")</f>
        <v/>
      </c>
      <c r="E80">
        <f>IFERROR(E76+E78-E79,"")</f>
        <v/>
      </c>
      <c r="F80">
        <f>IFERROR(F76+F78-F79,"")</f>
        <v/>
      </c>
      <c r="G80">
        <f>IFERROR(G76+G78-G79,"")</f>
        <v/>
      </c>
      <c r="H80">
        <f>IFERROR(H76+H78-H79,"")</f>
        <v/>
      </c>
      <c r="I80">
        <f>IFERROR(I76+I78-I79,"")</f>
        <v/>
      </c>
      <c r="J80">
        <f>IFERROR(J76+J78-J79,"")</f>
        <v/>
      </c>
      <c r="K80">
        <f>IFERROR(K76+K78-K79,"")</f>
        <v/>
      </c>
    </row>
    <row r="90">
      <c r="A90" t="inlineStr">
        <is>
          <t>Debt Chart Data</t>
        </is>
      </c>
      <c r="B90" t="n">
        <v>1</v>
      </c>
      <c r="C90" t="n">
        <v>2</v>
      </c>
      <c r="D90" t="n">
        <v>3</v>
      </c>
      <c r="E90" t="n">
        <v>4</v>
      </c>
      <c r="F90" t="n">
        <v>5</v>
      </c>
      <c r="G90" t="n">
        <v>6</v>
      </c>
      <c r="H90" t="n">
        <v>7</v>
      </c>
      <c r="I90" t="n">
        <v>8</v>
      </c>
      <c r="J90" t="n">
        <v>9</v>
      </c>
      <c r="K90" t="n">
        <v>10</v>
      </c>
    </row>
    <row r="91">
      <c r="A91" t="inlineStr">
        <is>
          <t>Closing Debt Balance</t>
        </is>
      </c>
      <c r="B91">
        <f>I57</f>
        <v/>
      </c>
      <c r="C91">
        <f>I58</f>
        <v/>
      </c>
      <c r="D91">
        <f>I59</f>
        <v/>
      </c>
      <c r="E91">
        <f>I60</f>
        <v/>
      </c>
      <c r="F91">
        <f>I61</f>
        <v/>
      </c>
      <c r="G91">
        <f>I62</f>
        <v/>
      </c>
      <c r="H91">
        <f>I63</f>
        <v/>
      </c>
      <c r="I91">
        <f>I64</f>
        <v/>
      </c>
      <c r="J91">
        <f>I65</f>
        <v/>
      </c>
      <c r="K91">
        <f>I66</f>
        <v/>
      </c>
    </row>
    <row r="92">
      <c r="A92" t="inlineStr">
        <is>
          <t>Debt Service</t>
        </is>
      </c>
      <c r="B92">
        <f>G57</f>
        <v/>
      </c>
      <c r="C92">
        <f>G58</f>
        <v/>
      </c>
      <c r="D92">
        <f>G59</f>
        <v/>
      </c>
      <c r="E92">
        <f>G60</f>
        <v/>
      </c>
      <c r="F92">
        <f>G61</f>
        <v/>
      </c>
      <c r="G92">
        <f>G62</f>
        <v/>
      </c>
      <c r="H92">
        <f>G63</f>
        <v/>
      </c>
      <c r="I92">
        <f>G64</f>
        <v/>
      </c>
      <c r="J92">
        <f>G65</f>
        <v/>
      </c>
      <c r="K92">
        <f>G66</f>
        <v/>
      </c>
    </row>
    <row r="93">
      <c r="A93" t="inlineStr">
        <is>
          <t>DSRA Closing Balance</t>
        </is>
      </c>
      <c r="B93">
        <f>B80</f>
        <v/>
      </c>
      <c r="C93">
        <f>C80</f>
        <v/>
      </c>
      <c r="D93">
        <f>D80</f>
        <v/>
      </c>
      <c r="E93">
        <f>E80</f>
        <v/>
      </c>
      <c r="F93">
        <f>F80</f>
        <v/>
      </c>
      <c r="G93">
        <f>G80</f>
        <v/>
      </c>
      <c r="H93">
        <f>H80</f>
        <v/>
      </c>
      <c r="I93">
        <f>I80</f>
        <v/>
      </c>
      <c r="J93">
        <f>J80</f>
        <v/>
      </c>
      <c r="K93">
        <f>K80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11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Y1"/>
    </sheetView>
  </sheetViews>
  <sheetFormatPr baseColWidth="10" defaultColWidth="8.83203125" defaultRowHeight="15"/>
  <cols>
    <col width="30" customWidth="1" style="239" min="1" max="1"/>
    <col width="13" customWidth="1" style="239" min="2" max="25"/>
  </cols>
  <sheetData>
    <row r="1" ht="21" customHeight="1" s="239">
      <c r="A1" s="268" t="inlineStr">
        <is>
          <t>Moratorium Coverage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0" t="n"/>
      <c r="L1" s="250" t="n"/>
      <c r="M1" s="250" t="n"/>
      <c r="N1" s="250" t="n"/>
      <c r="O1" s="250" t="n"/>
      <c r="P1" s="250" t="n"/>
      <c r="Q1" s="250" t="n"/>
      <c r="R1" s="250" t="n"/>
      <c r="S1" s="250" t="n"/>
      <c r="T1" s="250" t="n"/>
      <c r="U1" s="250" t="n"/>
      <c r="V1" s="250" t="n"/>
      <c r="W1" s="250" t="n"/>
      <c r="X1" s="250" t="n"/>
      <c r="Y1" s="251" t="n"/>
    </row>
    <row r="2">
      <c r="A2" s="269" t="inlineStr">
        <is>
          <t>Month 1-24 interest coverage by feed farm, dairy, bull fattening, and logistics cash generation.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0" t="n"/>
      <c r="L2" s="250" t="n"/>
      <c r="M2" s="250" t="n"/>
      <c r="N2" s="250" t="n"/>
      <c r="O2" s="250" t="n"/>
      <c r="P2" s="250" t="n"/>
      <c r="Q2" s="250" t="n"/>
      <c r="R2" s="250" t="n"/>
      <c r="S2" s="250" t="n"/>
      <c r="T2" s="250" t="n"/>
      <c r="U2" s="250" t="n"/>
      <c r="V2" s="250" t="n"/>
      <c r="W2" s="250" t="n"/>
      <c r="X2" s="250" t="n"/>
      <c r="Y2" s="251" t="n"/>
    </row>
    <row r="3">
      <c r="A3" s="119" t="inlineStr">
        <is>
          <t>Line Item</t>
        </is>
      </c>
      <c r="B3" s="119" t="inlineStr">
        <is>
          <t>Month 1</t>
        </is>
      </c>
      <c r="C3" s="119" t="inlineStr">
        <is>
          <t>Month 2</t>
        </is>
      </c>
      <c r="D3" s="119" t="inlineStr">
        <is>
          <t>Month 3</t>
        </is>
      </c>
      <c r="E3" s="119" t="inlineStr">
        <is>
          <t>Month 4</t>
        </is>
      </c>
      <c r="F3" s="119" t="inlineStr">
        <is>
          <t>Month 5</t>
        </is>
      </c>
      <c r="G3" s="119" t="inlineStr">
        <is>
          <t>Month 6</t>
        </is>
      </c>
      <c r="H3" s="119" t="inlineStr">
        <is>
          <t>Month 7</t>
        </is>
      </c>
      <c r="I3" s="119" t="inlineStr">
        <is>
          <t>Month 8</t>
        </is>
      </c>
      <c r="J3" s="119" t="inlineStr">
        <is>
          <t>Month 9</t>
        </is>
      </c>
      <c r="K3" s="119" t="inlineStr">
        <is>
          <t>Month 10</t>
        </is>
      </c>
      <c r="L3" s="119" t="inlineStr">
        <is>
          <t>Month 11</t>
        </is>
      </c>
      <c r="M3" s="119" t="inlineStr">
        <is>
          <t>Month 12</t>
        </is>
      </c>
      <c r="N3" s="119" t="inlineStr">
        <is>
          <t>Month 13</t>
        </is>
      </c>
      <c r="O3" s="119" t="inlineStr">
        <is>
          <t>Month 14</t>
        </is>
      </c>
      <c r="P3" s="119" t="inlineStr">
        <is>
          <t>Month 15</t>
        </is>
      </c>
      <c r="Q3" s="119" t="inlineStr">
        <is>
          <t>Month 16</t>
        </is>
      </c>
      <c r="R3" s="119" t="inlineStr">
        <is>
          <t>Month 17</t>
        </is>
      </c>
      <c r="S3" s="119" t="inlineStr">
        <is>
          <t>Month 18</t>
        </is>
      </c>
      <c r="T3" s="119" t="inlineStr">
        <is>
          <t>Month 19</t>
        </is>
      </c>
      <c r="U3" s="119" t="inlineStr">
        <is>
          <t>Month 20</t>
        </is>
      </c>
      <c r="V3" s="119" t="inlineStr">
        <is>
          <t>Month 21</t>
        </is>
      </c>
      <c r="W3" s="119" t="inlineStr">
        <is>
          <t>Month 22</t>
        </is>
      </c>
      <c r="X3" s="119" t="inlineStr">
        <is>
          <t>Month 23</t>
        </is>
      </c>
      <c r="Y3" s="119" t="inlineStr">
        <is>
          <t>Month 24</t>
        </is>
      </c>
    </row>
    <row r="4">
      <c r="A4" s="114" t="inlineStr">
        <is>
          <t>Interest Accrued</t>
        </is>
      </c>
      <c r="B4" s="118">
        <f>IFERROR(FUNDING_DEBT!D557/12/12,"")</f>
        <v/>
      </c>
      <c r="C4" s="118">
        <f>IFERROR(FUNDING_DEBT!D557/12/12,"")</f>
        <v/>
      </c>
      <c r="D4" s="118">
        <f>IFERROR(FUNDING_DEBT!D557/12/12,"")</f>
        <v/>
      </c>
      <c r="E4" s="118">
        <f>IFERROR(FUNDING_DEBT!D557/12/12,"")</f>
        <v/>
      </c>
      <c r="F4" s="118">
        <f>IFERROR(FUNDING_DEBT!D557/12/12,"")</f>
        <v/>
      </c>
      <c r="G4" s="118">
        <f>IFERROR(FUNDING_DEBT!D557/12/12,"")</f>
        <v/>
      </c>
      <c r="H4" s="118">
        <f>IFERROR(FUNDING_DEBT!D557/12/12,"")</f>
        <v/>
      </c>
      <c r="I4" s="118">
        <f>IFERROR(FUNDING_DEBT!D557/12/12,"")</f>
        <v/>
      </c>
      <c r="J4" s="118">
        <f>IFERROR(FUNDING_DEBT!D557/12/12,"")</f>
        <v/>
      </c>
      <c r="K4" s="118">
        <f>IFERROR(FUNDING_DEBT!D557/12/12,"")</f>
        <v/>
      </c>
      <c r="L4" s="118">
        <f>IFERROR(FUNDING_DEBT!D557/12/12,"")</f>
        <v/>
      </c>
      <c r="M4" s="118">
        <f>IFERROR(FUNDING_DEBT!D557/12/12,"")</f>
        <v/>
      </c>
      <c r="N4" s="118">
        <f>IFERROR(FUNDING_DEBT!D558/12/12,"")</f>
        <v/>
      </c>
      <c r="O4" s="118">
        <f>IFERROR(FUNDING_DEBT!D558/12/12,"")</f>
        <v/>
      </c>
      <c r="P4" s="118">
        <f>IFERROR(FUNDING_DEBT!D558/12/12,"")</f>
        <v/>
      </c>
      <c r="Q4" s="118">
        <f>IFERROR(FUNDING_DEBT!D558/12/12,"")</f>
        <v/>
      </c>
      <c r="R4" s="118">
        <f>IFERROR(FUNDING_DEBT!D558/12/12,"")</f>
        <v/>
      </c>
      <c r="S4" s="118">
        <f>IFERROR(FUNDING_DEBT!D558/12/12,"")</f>
        <v/>
      </c>
      <c r="T4" s="118">
        <f>IFERROR(FUNDING_DEBT!D558/12/12,"")</f>
        <v/>
      </c>
      <c r="U4" s="118">
        <f>IFERROR(FUNDING_DEBT!D558/12/12,"")</f>
        <v/>
      </c>
      <c r="V4" s="118">
        <f>IFERROR(FUNDING_DEBT!D558/12/12,"")</f>
        <v/>
      </c>
      <c r="W4" s="118">
        <f>IFERROR(FUNDING_DEBT!D558/12/12,"")</f>
        <v/>
      </c>
      <c r="X4" s="118">
        <f>IFERROR(FUNDING_DEBT!D558/12/12,"")</f>
        <v/>
      </c>
      <c r="Y4" s="118">
        <f>IFERROR(FUNDING_DEBT!D558/12/12,"")</f>
        <v/>
      </c>
    </row>
    <row r="5">
      <c r="A5" s="114" t="inlineStr">
        <is>
          <t>Feed Farm Cash Generated</t>
        </is>
      </c>
      <c r="B5" s="118">
        <f>IFERROR(FEED_FARM!B23/12,"")</f>
        <v/>
      </c>
      <c r="C5" s="118">
        <f>IFERROR(FEED_FARM!B23/12,"")</f>
        <v/>
      </c>
      <c r="D5" s="118">
        <f>IFERROR(FEED_FARM!B23/12,"")</f>
        <v/>
      </c>
      <c r="E5" s="118">
        <f>IFERROR(FEED_FARM!B23/12,"")</f>
        <v/>
      </c>
      <c r="F5" s="118">
        <f>IFERROR(FEED_FARM!B23/12,"")</f>
        <v/>
      </c>
      <c r="G5" s="118">
        <f>IFERROR(FEED_FARM!B23/12,"")</f>
        <v/>
      </c>
      <c r="H5" s="118">
        <f>IFERROR(FEED_FARM!B23/12,"")</f>
        <v/>
      </c>
      <c r="I5" s="118">
        <f>IFERROR(FEED_FARM!B23/12,"")</f>
        <v/>
      </c>
      <c r="J5" s="118">
        <f>IFERROR(FEED_FARM!B23/12,"")</f>
        <v/>
      </c>
      <c r="K5" s="118">
        <f>IFERROR(FEED_FARM!B23/12,"")</f>
        <v/>
      </c>
      <c r="L5" s="118">
        <f>IFERROR(FEED_FARM!B23/12,"")</f>
        <v/>
      </c>
      <c r="M5" s="118">
        <f>IFERROR(FEED_FARM!B23/12,"")</f>
        <v/>
      </c>
      <c r="N5" s="118">
        <f>IFERROR(FEED_FARM!C23/12,"")</f>
        <v/>
      </c>
      <c r="O5" s="118">
        <f>IFERROR(FEED_FARM!C23/12,"")</f>
        <v/>
      </c>
      <c r="P5" s="118">
        <f>IFERROR(FEED_FARM!C23/12,"")</f>
        <v/>
      </c>
      <c r="Q5" s="118">
        <f>IFERROR(FEED_FARM!C23/12,"")</f>
        <v/>
      </c>
      <c r="R5" s="118">
        <f>IFERROR(FEED_FARM!C23/12,"")</f>
        <v/>
      </c>
      <c r="S5" s="118">
        <f>IFERROR(FEED_FARM!C23/12,"")</f>
        <v/>
      </c>
      <c r="T5" s="118">
        <f>IFERROR(FEED_FARM!C23/12,"")</f>
        <v/>
      </c>
      <c r="U5" s="118">
        <f>IFERROR(FEED_FARM!C23/12,"")</f>
        <v/>
      </c>
      <c r="V5" s="118">
        <f>IFERROR(FEED_FARM!C23/12,"")</f>
        <v/>
      </c>
      <c r="W5" s="118">
        <f>IFERROR(FEED_FARM!C23/12,"")</f>
        <v/>
      </c>
      <c r="X5" s="118">
        <f>IFERROR(FEED_FARM!C23/12,"")</f>
        <v/>
      </c>
      <c r="Y5" s="118">
        <f>IFERROR(FEED_FARM!C23/12,"")</f>
        <v/>
      </c>
    </row>
    <row r="6">
      <c r="A6" s="114" t="inlineStr">
        <is>
          <t>Dairy Cash Generated</t>
        </is>
      </c>
      <c r="B6" s="118">
        <f>IFERROR(PNL!B22*70%/12*70%/12,"")</f>
        <v/>
      </c>
      <c r="C6" s="118">
        <f>IFERROR(PNL!B22*70%/12*70%/12,"")</f>
        <v/>
      </c>
      <c r="D6" s="118">
        <f>IFERROR(PNL!B22*70%/12*70%/12,"")</f>
        <v/>
      </c>
      <c r="E6" s="118">
        <f>IFERROR(PNL!B22*70%/12*70%/12,"")</f>
        <v/>
      </c>
      <c r="F6" s="118">
        <f>IFERROR(PNL!B22*70%/12*70%/12,"")</f>
        <v/>
      </c>
      <c r="G6" s="118">
        <f>IFERROR(PNL!B22*70%/12*70%/12,"")</f>
        <v/>
      </c>
      <c r="H6" s="118">
        <f>IFERROR(PNL!B22*70%/12*70%/12,"")</f>
        <v/>
      </c>
      <c r="I6" s="118">
        <f>IFERROR(PNL!B22*70%/12*70%/12,"")</f>
        <v/>
      </c>
      <c r="J6" s="118">
        <f>IFERROR(PNL!B22*70%/12*70%/12,"")</f>
        <v/>
      </c>
      <c r="K6" s="118">
        <f>IFERROR(PNL!B22*70%/12*70%/12,"")</f>
        <v/>
      </c>
      <c r="L6" s="118">
        <f>IFERROR(PNL!B22*70%/12*70%/12,"")</f>
        <v/>
      </c>
      <c r="M6" s="118">
        <f>IFERROR(PNL!B22*70%/12*70%/12,"")</f>
        <v/>
      </c>
      <c r="N6" s="118">
        <f>IFERROR(PNL!C22*70%/12*70%/12,"")</f>
        <v/>
      </c>
      <c r="O6" s="118">
        <f>IFERROR(PNL!C22*70%/12*70%/12,"")</f>
        <v/>
      </c>
      <c r="P6" s="118">
        <f>IFERROR(PNL!C22*70%/12*70%/12,"")</f>
        <v/>
      </c>
      <c r="Q6" s="118">
        <f>IFERROR(PNL!C22*70%/12*70%/12,"")</f>
        <v/>
      </c>
      <c r="R6" s="118">
        <f>IFERROR(PNL!C22*70%/12*70%/12,"")</f>
        <v/>
      </c>
      <c r="S6" s="118">
        <f>IFERROR(PNL!C22*70%/12*70%/12,"")</f>
        <v/>
      </c>
      <c r="T6" s="118">
        <f>IFERROR(PNL!C22*70%/12*70%/12,"")</f>
        <v/>
      </c>
      <c r="U6" s="118">
        <f>IFERROR(PNL!C22*70%/12*70%/12,"")</f>
        <v/>
      </c>
      <c r="V6" s="118">
        <f>IFERROR(PNL!C22*70%/12*70%/12,"")</f>
        <v/>
      </c>
      <c r="W6" s="118">
        <f>IFERROR(PNL!C22*70%/12*70%/12,"")</f>
        <v/>
      </c>
      <c r="X6" s="118">
        <f>IFERROR(PNL!C22*70%/12*70%/12,"")</f>
        <v/>
      </c>
      <c r="Y6" s="118">
        <f>IFERROR(PNL!C22*70%/12*70%/12,"")</f>
        <v/>
      </c>
    </row>
    <row r="7">
      <c r="A7" s="114" t="inlineStr">
        <is>
          <t>Bull Fattening Cash Generated</t>
        </is>
      </c>
      <c r="B7" s="118">
        <f>IFERROR(FATTENING!B$34,"")</f>
        <v/>
      </c>
      <c r="C7" s="118">
        <f>IFERROR(FATTENING!C$34,"")</f>
        <v/>
      </c>
      <c r="D7" s="118">
        <f>IFERROR(FATTENING!D$34,"")</f>
        <v/>
      </c>
      <c r="E7" s="118">
        <f>IFERROR(FATTENING!E$34,"")</f>
        <v/>
      </c>
      <c r="F7" s="118">
        <f>IFERROR(FATTENING!F$34,"")</f>
        <v/>
      </c>
      <c r="G7" s="118">
        <f>IFERROR(FATTENING!G$34,"")</f>
        <v/>
      </c>
      <c r="H7" s="118">
        <f>IFERROR(FATTENING!H$34,"")</f>
        <v/>
      </c>
      <c r="I7" s="118">
        <f>IFERROR(FATTENING!I$34,"")</f>
        <v/>
      </c>
      <c r="J7" s="118">
        <f>IFERROR(FATTENING!J$34,"")</f>
        <v/>
      </c>
      <c r="K7" s="118">
        <f>IFERROR(FATTENING!K$34,"")</f>
        <v/>
      </c>
      <c r="L7" s="118">
        <f>IFERROR(FATTENING!L$34,"")</f>
        <v/>
      </c>
      <c r="M7" s="118">
        <f>IFERROR(FATTENING!M$34,"")</f>
        <v/>
      </c>
      <c r="N7" s="118">
        <f>IFERROR(FATTENING!N$34,"")</f>
        <v/>
      </c>
      <c r="O7" s="118">
        <f>IFERROR(FATTENING!O$34,"")</f>
        <v/>
      </c>
      <c r="P7" s="118">
        <f>IFERROR(FATTENING!P$34,"")</f>
        <v/>
      </c>
      <c r="Q7" s="118">
        <f>IFERROR(FATTENING!Q$34,"")</f>
        <v/>
      </c>
      <c r="R7" s="118">
        <f>IFERROR(FATTENING!R$34,"")</f>
        <v/>
      </c>
      <c r="S7" s="118">
        <f>IFERROR(FATTENING!S$34,"")</f>
        <v/>
      </c>
      <c r="T7" s="118">
        <f>IFERROR(FATTENING!T$34,"")</f>
        <v/>
      </c>
      <c r="U7" s="118">
        <f>IFERROR(FATTENING!U$34,"")</f>
        <v/>
      </c>
      <c r="V7" s="118">
        <f>IFERROR(FATTENING!V$34,"")</f>
        <v/>
      </c>
      <c r="W7" s="118">
        <f>IFERROR(FATTENING!W$34,"")</f>
        <v/>
      </c>
      <c r="X7" s="118">
        <f>IFERROR(FATTENING!X$34,"")</f>
        <v/>
      </c>
      <c r="Y7" s="118">
        <f>IFERROR(FATTENING!Y$34,"")</f>
        <v/>
      </c>
    </row>
    <row r="8">
      <c r="A8" s="114" t="inlineStr">
        <is>
          <t>Logistics Cash Generated</t>
        </is>
      </c>
      <c r="B8" s="118">
        <f>IFERROR(LOGISTICS!B12/12,"")</f>
        <v/>
      </c>
      <c r="C8" s="118">
        <f>IFERROR(LOGISTICS!B12/12,"")</f>
        <v/>
      </c>
      <c r="D8" s="118">
        <f>IFERROR(LOGISTICS!B12/12,"")</f>
        <v/>
      </c>
      <c r="E8" s="118">
        <f>IFERROR(LOGISTICS!B12/12,"")</f>
        <v/>
      </c>
      <c r="F8" s="118">
        <f>IFERROR(LOGISTICS!B12/12,"")</f>
        <v/>
      </c>
      <c r="G8" s="118">
        <f>IFERROR(LOGISTICS!B12/12,"")</f>
        <v/>
      </c>
      <c r="H8" s="118">
        <f>IFERROR(LOGISTICS!B12/12,"")</f>
        <v/>
      </c>
      <c r="I8" s="118">
        <f>IFERROR(LOGISTICS!B12/12,"")</f>
        <v/>
      </c>
      <c r="J8" s="118">
        <f>IFERROR(LOGISTICS!B12/12,"")</f>
        <v/>
      </c>
      <c r="K8" s="118">
        <f>IFERROR(LOGISTICS!B12/12,"")</f>
        <v/>
      </c>
      <c r="L8" s="118">
        <f>IFERROR(LOGISTICS!B12/12,"")</f>
        <v/>
      </c>
      <c r="M8" s="118">
        <f>IFERROR(LOGISTICS!B12/12,"")</f>
        <v/>
      </c>
      <c r="N8" s="118">
        <f>IFERROR(LOGISTICS!C12/12,"")</f>
        <v/>
      </c>
      <c r="O8" s="118">
        <f>IFERROR(LOGISTICS!C12/12,"")</f>
        <v/>
      </c>
      <c r="P8" s="118">
        <f>IFERROR(LOGISTICS!C12/12,"")</f>
        <v/>
      </c>
      <c r="Q8" s="118">
        <f>IFERROR(LOGISTICS!C12/12,"")</f>
        <v/>
      </c>
      <c r="R8" s="118">
        <f>IFERROR(LOGISTICS!C12/12,"")</f>
        <v/>
      </c>
      <c r="S8" s="118">
        <f>IFERROR(LOGISTICS!C12/12,"")</f>
        <v/>
      </c>
      <c r="T8" s="118">
        <f>IFERROR(LOGISTICS!C12/12,"")</f>
        <v/>
      </c>
      <c r="U8" s="118">
        <f>IFERROR(LOGISTICS!C12/12,"")</f>
        <v/>
      </c>
      <c r="V8" s="118">
        <f>IFERROR(LOGISTICS!C12/12,"")</f>
        <v/>
      </c>
      <c r="W8" s="118">
        <f>IFERROR(LOGISTICS!C12/12,"")</f>
        <v/>
      </c>
      <c r="X8" s="118">
        <f>IFERROR(LOGISTICS!C12/12,"")</f>
        <v/>
      </c>
      <c r="Y8" s="118">
        <f>IFERROR(LOGISTICS!C12/12,"")</f>
        <v/>
      </c>
    </row>
    <row r="9">
      <c r="A9" s="120" t="inlineStr">
        <is>
          <t>Total Operating Cash Flow</t>
        </is>
      </c>
      <c r="B9" s="121">
        <f>IFERROR(SUM(B5:B8),"")</f>
        <v/>
      </c>
      <c r="C9" s="121">
        <f>IFERROR(SUM(C5:C8),"")</f>
        <v/>
      </c>
      <c r="D9" s="121">
        <f>IFERROR(SUM(D5:D8),"")</f>
        <v/>
      </c>
      <c r="E9" s="121">
        <f>IFERROR(SUM(E5:E8),"")</f>
        <v/>
      </c>
      <c r="F9" s="121">
        <f>IFERROR(SUM(F5:F8),"")</f>
        <v/>
      </c>
      <c r="G9" s="121">
        <f>IFERROR(SUM(G5:G8),"")</f>
        <v/>
      </c>
      <c r="H9" s="121">
        <f>IFERROR(SUM(H5:H8),"")</f>
        <v/>
      </c>
      <c r="I9" s="121">
        <f>IFERROR(SUM(I5:I8),"")</f>
        <v/>
      </c>
      <c r="J9" s="121">
        <f>IFERROR(SUM(J5:J8),"")</f>
        <v/>
      </c>
      <c r="K9" s="121">
        <f>IFERROR(SUM(K5:K8),"")</f>
        <v/>
      </c>
      <c r="L9" s="121">
        <f>IFERROR(SUM(L5:L8),"")</f>
        <v/>
      </c>
      <c r="M9" s="121">
        <f>IFERROR(SUM(M5:M8),"")</f>
        <v/>
      </c>
      <c r="N9" s="121">
        <f>IFERROR(SUM(N5:N8),"")</f>
        <v/>
      </c>
      <c r="O9" s="121">
        <f>IFERROR(SUM(O5:O8),"")</f>
        <v/>
      </c>
      <c r="P9" s="121">
        <f>IFERROR(SUM(P5:P8),"")</f>
        <v/>
      </c>
      <c r="Q9" s="121">
        <f>IFERROR(SUM(Q5:Q8),"")</f>
        <v/>
      </c>
      <c r="R9" s="121">
        <f>IFERROR(SUM(R5:R8),"")</f>
        <v/>
      </c>
      <c r="S9" s="121">
        <f>IFERROR(SUM(S5:S8),"")</f>
        <v/>
      </c>
      <c r="T9" s="121">
        <f>IFERROR(SUM(T5:T8),"")</f>
        <v/>
      </c>
      <c r="U9" s="121">
        <f>IFERROR(SUM(U5:U8),"")</f>
        <v/>
      </c>
      <c r="V9" s="121">
        <f>IFERROR(SUM(V5:V8),"")</f>
        <v/>
      </c>
      <c r="W9" s="121">
        <f>IFERROR(SUM(W5:W8),"")</f>
        <v/>
      </c>
      <c r="X9" s="121">
        <f>IFERROR(SUM(X5:X8),"")</f>
        <v/>
      </c>
      <c r="Y9" s="121">
        <f>IFERROR(SUM(Y5:Y8),"")</f>
        <v/>
      </c>
    </row>
    <row r="10">
      <c r="A10" s="120" t="inlineStr">
        <is>
          <t>Interest Coverage Ratio</t>
        </is>
      </c>
      <c r="B10" s="121">
        <f>IFERROR(IF(B4=0,"",B9/B4),"")</f>
        <v/>
      </c>
      <c r="C10" s="121">
        <f>IFERROR(IF(C4=0,"",C9/C4),"")</f>
        <v/>
      </c>
      <c r="D10" s="121">
        <f>IFERROR(IF(D4=0,"",D9/D4),"")</f>
        <v/>
      </c>
      <c r="E10" s="121">
        <f>IFERROR(IF(E4=0,"",E9/E4),"")</f>
        <v/>
      </c>
      <c r="F10" s="121">
        <f>IFERROR(IF(F4=0,"",F9/F4),"")</f>
        <v/>
      </c>
      <c r="G10" s="121">
        <f>IFERROR(IF(G4=0,"",G9/G4),"")</f>
        <v/>
      </c>
      <c r="H10" s="121">
        <f>IFERROR(IF(H4=0,"",H9/H4),"")</f>
        <v/>
      </c>
      <c r="I10" s="121">
        <f>IFERROR(IF(I4=0,"",I9/I4),"")</f>
        <v/>
      </c>
      <c r="J10" s="121">
        <f>IFERROR(IF(J4=0,"",J9/J4),"")</f>
        <v/>
      </c>
      <c r="K10" s="121">
        <f>IFERROR(IF(K4=0,"",K9/K4),"")</f>
        <v/>
      </c>
      <c r="L10" s="121">
        <f>IFERROR(IF(L4=0,"",L9/L4),"")</f>
        <v/>
      </c>
      <c r="M10" s="121">
        <f>IFERROR(IF(M4=0,"",M9/M4),"")</f>
        <v/>
      </c>
      <c r="N10" s="121">
        <f>IFERROR(IF(N4=0,"",N9/N4),"")</f>
        <v/>
      </c>
      <c r="O10" s="121">
        <f>IFERROR(IF(O4=0,"",O9/O4),"")</f>
        <v/>
      </c>
      <c r="P10" s="121">
        <f>IFERROR(IF(P4=0,"",P9/P4),"")</f>
        <v/>
      </c>
      <c r="Q10" s="121">
        <f>IFERROR(IF(Q4=0,"",Q9/Q4),"")</f>
        <v/>
      </c>
      <c r="R10" s="121">
        <f>IFERROR(IF(R4=0,"",R9/R4),"")</f>
        <v/>
      </c>
      <c r="S10" s="121">
        <f>IFERROR(IF(S4=0,"",S9/S4),"")</f>
        <v/>
      </c>
      <c r="T10" s="121">
        <f>IFERROR(IF(T4=0,"",T9/T4),"")</f>
        <v/>
      </c>
      <c r="U10" s="121">
        <f>IFERROR(IF(U4=0,"",U9/U4),"")</f>
        <v/>
      </c>
      <c r="V10" s="121">
        <f>IFERROR(IF(V4=0,"",V9/V4),"")</f>
        <v/>
      </c>
      <c r="W10" s="121">
        <f>IFERROR(IF(W4=0,"",W9/W4),"")</f>
        <v/>
      </c>
      <c r="X10" s="121">
        <f>IFERROR(IF(X4=0,"",X9/X4),"")</f>
        <v/>
      </c>
      <c r="Y10" s="121">
        <f>IFERROR(IF(Y4=0,"",Y9/Y4),"")</f>
        <v/>
      </c>
    </row>
    <row r="11">
      <c r="A11" s="120" t="inlineStr">
        <is>
          <t>Cumulative Surplus / (Gap)</t>
        </is>
      </c>
      <c r="B11" s="121">
        <f>IFERROR(B9-B4,"")</f>
        <v/>
      </c>
      <c r="C11" s="121">
        <f>IFERROR(B11+C9-C4,"")</f>
        <v/>
      </c>
      <c r="D11" s="121">
        <f>IFERROR(C11+D9-D4,"")</f>
        <v/>
      </c>
      <c r="E11" s="121">
        <f>IFERROR(D11+E9-E4,"")</f>
        <v/>
      </c>
      <c r="F11" s="121">
        <f>IFERROR(E11+F9-F4,"")</f>
        <v/>
      </c>
      <c r="G11" s="121">
        <f>IFERROR(F11+G9-G4,"")</f>
        <v/>
      </c>
      <c r="H11" s="121">
        <f>IFERROR(G11+H9-H4,"")</f>
        <v/>
      </c>
      <c r="I11" s="121">
        <f>IFERROR(H11+I9-I4,"")</f>
        <v/>
      </c>
      <c r="J11" s="121">
        <f>IFERROR(I11+J9-J4,"")</f>
        <v/>
      </c>
      <c r="K11" s="121">
        <f>IFERROR(J11+K9-K4,"")</f>
        <v/>
      </c>
      <c r="L11" s="121">
        <f>IFERROR(K11+L9-L4,"")</f>
        <v/>
      </c>
      <c r="M11" s="121">
        <f>IFERROR(L11+M9-M4,"")</f>
        <v/>
      </c>
      <c r="N11" s="121">
        <f>IFERROR(M11+N9-N4,"")</f>
        <v/>
      </c>
      <c r="O11" s="121">
        <f>IFERROR(N11+O9-O4,"")</f>
        <v/>
      </c>
      <c r="P11" s="121">
        <f>IFERROR(O11+P9-P4,"")</f>
        <v/>
      </c>
      <c r="Q11" s="121">
        <f>IFERROR(P11+Q9-Q4,"")</f>
        <v/>
      </c>
      <c r="R11" s="121">
        <f>IFERROR(Q11+R9-R4,"")</f>
        <v/>
      </c>
      <c r="S11" s="121">
        <f>IFERROR(R11+S9-S4,"")</f>
        <v/>
      </c>
      <c r="T11" s="121">
        <f>IFERROR(S11+T9-T4,"")</f>
        <v/>
      </c>
      <c r="U11" s="121">
        <f>IFERROR(T11+U9-U4,"")</f>
        <v/>
      </c>
      <c r="V11" s="121">
        <f>IFERROR(U11+V9-V4,"")</f>
        <v/>
      </c>
      <c r="W11" s="121">
        <f>IFERROR(V11+W9-W4,"")</f>
        <v/>
      </c>
      <c r="X11" s="121">
        <f>IFERROR(W11+X9-X4,"")</f>
        <v/>
      </c>
      <c r="Y11" s="121">
        <f>IFERROR(X11+Y9-Y4,"")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Y2"/>
    <mergeCell ref="A1:Y1"/>
  </mergeCells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100"/>
  <sheetViews>
    <sheetView showGridLines="0" topLeftCell="A1" workbookViewId="0">
      <pane ySplit="3" topLeftCell="A15" activePane="bottomLeft" state="frozen"/>
      <selection pane="bottomLeft" activeCell="A1" sqref="A1"/>
    </sheetView>
  </sheetViews>
  <sheetFormatPr baseColWidth="10" defaultColWidth="8.83203125" defaultRowHeight="15"/>
  <cols>
    <col width="28" customWidth="1" style="239" min="1" max="1"/>
    <col width="16" customWidth="1" style="239" min="2" max="11"/>
  </cols>
  <sheetData>
    <row r="1" ht="21" customHeight="1" s="239">
      <c r="A1" s="235" t="inlineStr">
        <is>
          <t>Financial Reports</t>
        </is>
      </c>
    </row>
    <row r="2">
      <c r="A2" s="236" t="inlineStr">
        <is>
          <t>Consolidated view. Source tabs remain in the workbook for formula continuity and can be unhidden if needed.</t>
        </is>
      </c>
    </row>
    <row r="4">
      <c r="A4" s="234" t="inlineStr">
        <is>
          <t>SOURCE: P&amp;L</t>
        </is>
      </c>
    </row>
    <row r="5">
      <c r="A5" s="10" t="inlineStr">
        <is>
          <t>Year</t>
        </is>
      </c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0" t="n">
        <v>6</v>
      </c>
      <c r="H5" s="10" t="n">
        <v>7</v>
      </c>
      <c r="I5" s="10" t="n">
        <v>8</v>
      </c>
      <c r="J5" s="10" t="n">
        <v>9</v>
      </c>
      <c r="K5" s="10" t="n">
        <v>10</v>
      </c>
    </row>
    <row r="6">
      <c r="A6" s="26" t="inlineStr">
        <is>
          <t>Total_Revenue</t>
        </is>
      </c>
      <c r="B6" s="28">
        <f>IFERROR(BALANCE_SHEET!B36,"")</f>
        <v/>
      </c>
      <c r="C6" s="28">
        <f>IFERROR(BALANCE_SHEET!C36,"")</f>
        <v/>
      </c>
      <c r="D6" s="28">
        <f>IFERROR(BALANCE_SHEET!D36,"")</f>
        <v/>
      </c>
      <c r="E6" s="28">
        <f>IFERROR(BALANCE_SHEET!E36,"")</f>
        <v/>
      </c>
      <c r="F6" s="28">
        <f>IFERROR(BALANCE_SHEET!F36,"")</f>
        <v/>
      </c>
      <c r="G6" s="28">
        <f>IFERROR(BALANCE_SHEET!G36,"")</f>
        <v/>
      </c>
      <c r="H6" s="28">
        <f>IFERROR(BALANCE_SHEET!H36,"")</f>
        <v/>
      </c>
      <c r="I6" s="28">
        <f>IFERROR(BALANCE_SHEET!I36,"")</f>
        <v/>
      </c>
      <c r="J6" s="28">
        <f>IFERROR(BALANCE_SHEET!J36,"")</f>
        <v/>
      </c>
      <c r="K6" s="28">
        <f>IFERROR(BALANCE_SHEET!K36,"")</f>
        <v/>
      </c>
    </row>
    <row r="7">
      <c r="A7" s="26" t="inlineStr">
        <is>
          <t>Total_OPEX</t>
        </is>
      </c>
      <c r="B7" s="28">
        <f>IFERROR(OPEX!B14,"")</f>
        <v/>
      </c>
      <c r="C7" s="28">
        <f>IFERROR(OPEX!C14,"")</f>
        <v/>
      </c>
      <c r="D7" s="28">
        <f>IFERROR(OPEX!D14,"")</f>
        <v/>
      </c>
      <c r="E7" s="28">
        <f>IFERROR(OPEX!E14,"")</f>
        <v/>
      </c>
      <c r="F7" s="28">
        <f>IFERROR(OPEX!F14,"")</f>
        <v/>
      </c>
      <c r="G7" s="28">
        <f>IFERROR(OPEX!G14,"")</f>
        <v/>
      </c>
      <c r="H7" s="28">
        <f>IFERROR(OPEX!H14,"")</f>
        <v/>
      </c>
      <c r="I7" s="28">
        <f>IFERROR(OPEX!I14,"")</f>
        <v/>
      </c>
      <c r="J7" s="28">
        <f>IFERROR(OPEX!J14,"")</f>
        <v/>
      </c>
      <c r="K7" s="28">
        <f>IFERROR(OPEX!K14,"")</f>
        <v/>
      </c>
    </row>
    <row r="8">
      <c r="A8" s="26" t="inlineStr">
        <is>
          <t>EBITDA</t>
        </is>
      </c>
      <c r="B8" s="28">
        <f>IFERROR(B6-B7,"")</f>
        <v/>
      </c>
      <c r="C8" s="28">
        <f>IFERROR(C6-C7,"")</f>
        <v/>
      </c>
      <c r="D8" s="28">
        <f>IFERROR(D6-D7,"")</f>
        <v/>
      </c>
      <c r="E8" s="28">
        <f>IFERROR(E6-E7,"")</f>
        <v/>
      </c>
      <c r="F8" s="28">
        <f>IFERROR(F6-F7,"")</f>
        <v/>
      </c>
      <c r="G8" s="28">
        <f>IFERROR(G6-G7,"")</f>
        <v/>
      </c>
      <c r="H8" s="28">
        <f>IFERROR(H6-H7,"")</f>
        <v/>
      </c>
      <c r="I8" s="28">
        <f>IFERROR(I6-I7,"")</f>
        <v/>
      </c>
      <c r="J8" s="28">
        <f>IFERROR(J6-J7,"")</f>
        <v/>
      </c>
      <c r="K8" s="28">
        <f>IFERROR(K6-K7,"")</f>
        <v/>
      </c>
    </row>
    <row r="9">
      <c r="A9" s="26" t="inlineStr">
        <is>
          <t>Depreciation</t>
        </is>
      </c>
      <c r="B9" s="28">
        <f>IFERROR(CAPEX!D$13,"")</f>
        <v/>
      </c>
      <c r="C9" s="28">
        <f>IFERROR(CAPEX!E$13,"")</f>
        <v/>
      </c>
      <c r="D9" s="28">
        <f>IFERROR(CAPEX!F$13,"")</f>
        <v/>
      </c>
      <c r="E9" s="28">
        <f>IFERROR(CAPEX!G$13,"")</f>
        <v/>
      </c>
      <c r="F9" s="28">
        <f>IFERROR(CAPEX!H$13,"")</f>
        <v/>
      </c>
      <c r="G9" s="28">
        <f>IFERROR(CAPEX!I$13,"")</f>
        <v/>
      </c>
      <c r="H9" s="28">
        <f>IFERROR(CAPEX!J$13,"")</f>
        <v/>
      </c>
      <c r="I9" s="28">
        <f>IFERROR(CAPEX!K$13,"")</f>
        <v/>
      </c>
      <c r="J9" s="28">
        <f>IFERROR(CAPEX!L$13,"")</f>
        <v/>
      </c>
      <c r="K9" s="28">
        <f>IFERROR(CAPEX!M$13,"")</f>
        <v/>
      </c>
    </row>
    <row r="10">
      <c r="A10" s="26" t="inlineStr">
        <is>
          <t>EBIT</t>
        </is>
      </c>
      <c r="B10" s="28">
        <f>IFERROR(B8-B9,"")</f>
        <v/>
      </c>
      <c r="C10" s="28">
        <f>IFERROR(C8-C9,"")</f>
        <v/>
      </c>
      <c r="D10" s="28">
        <f>IFERROR(D8-D9,"")</f>
        <v/>
      </c>
      <c r="E10" s="28">
        <f>IFERROR(E8-E9,"")</f>
        <v/>
      </c>
      <c r="F10" s="28">
        <f>IFERROR(F8-F9,"")</f>
        <v/>
      </c>
      <c r="G10" s="28">
        <f>IFERROR(G8-G9,"")</f>
        <v/>
      </c>
      <c r="H10" s="28">
        <f>IFERROR(H8-H9,"")</f>
        <v/>
      </c>
      <c r="I10" s="28">
        <f>IFERROR(I8-I9,"")</f>
        <v/>
      </c>
      <c r="J10" s="28">
        <f>IFERROR(J8-J9,"")</f>
        <v/>
      </c>
      <c r="K10" s="28">
        <f>IFERROR(K8-K9,"")</f>
        <v/>
      </c>
    </row>
    <row r="11">
      <c r="A11" s="26" t="inlineStr">
        <is>
          <t>Interest</t>
        </is>
      </c>
      <c r="B11" s="28">
        <f>IFERROR(FUNDING_DEBT!D57,"")</f>
        <v/>
      </c>
      <c r="C11" s="28">
        <f>IFERROR(FUNDING_DEBT!D58,"")</f>
        <v/>
      </c>
      <c r="D11" s="28">
        <f>IFERROR(FUNDING_DEBT!D59,"")</f>
        <v/>
      </c>
      <c r="E11" s="28">
        <f>IFERROR(FUNDING_DEBT!D60,"")</f>
        <v/>
      </c>
      <c r="F11" s="28">
        <f>IFERROR(FUNDING_DEBT!D61,"")</f>
        <v/>
      </c>
      <c r="G11" s="28">
        <f>IFERROR(FUNDING_DEBT!D62,"")</f>
        <v/>
      </c>
      <c r="H11" s="28">
        <f>IFERROR(FUNDING_DEBT!D63,"")</f>
        <v/>
      </c>
      <c r="I11" s="28">
        <f>IFERROR(FUNDING_DEBT!D64,"")</f>
        <v/>
      </c>
      <c r="J11" s="28">
        <f>IFERROR(FUNDING_DEBT!D65,"")</f>
        <v/>
      </c>
      <c r="K11" s="28">
        <f>IFERROR(FUNDING_DEBT!D66,"")</f>
        <v/>
      </c>
    </row>
    <row r="12">
      <c r="A12" s="26" t="inlineStr">
        <is>
          <t>PBT</t>
        </is>
      </c>
      <c r="B12" s="28">
        <f>IFERROR(B10-B11,"")</f>
        <v/>
      </c>
      <c r="C12" s="28">
        <f>IFERROR(C10-C11,"")</f>
        <v/>
      </c>
      <c r="D12" s="28">
        <f>IFERROR(D10-D11,"")</f>
        <v/>
      </c>
      <c r="E12" s="28">
        <f>IFERROR(E10-E11,"")</f>
        <v/>
      </c>
      <c r="F12" s="28">
        <f>IFERROR(F10-F11,"")</f>
        <v/>
      </c>
      <c r="G12" s="28">
        <f>IFERROR(G10-G11,"")</f>
        <v/>
      </c>
      <c r="H12" s="28">
        <f>IFERROR(H10-H11,"")</f>
        <v/>
      </c>
      <c r="I12" s="28">
        <f>IFERROR(I10-I11,"")</f>
        <v/>
      </c>
      <c r="J12" s="28">
        <f>IFERROR(J10-J11,"")</f>
        <v/>
      </c>
      <c r="K12" s="28">
        <f>IFERROR(K10-K11,"")</f>
        <v/>
      </c>
    </row>
    <row r="13">
      <c r="A13" s="26" t="inlineStr">
        <is>
          <t>Tax</t>
        </is>
      </c>
      <c r="B13" s="28">
        <f>IFERROR(MAX(0,B12*ASSUMPTIONS!$B$9),"")</f>
        <v/>
      </c>
      <c r="C13" s="28">
        <f>IFERROR(MAX(0,C12*ASSUMPTIONS!$B$9),"")</f>
        <v/>
      </c>
      <c r="D13" s="28">
        <f>IFERROR(MAX(0,D12*ASSUMPTIONS!$B$9),"")</f>
        <v/>
      </c>
      <c r="E13" s="28">
        <f>IFERROR(MAX(0,E12*ASSUMPTIONS!$B$9),"")</f>
        <v/>
      </c>
      <c r="F13" s="28">
        <f>IFERROR(MAX(0,F12*ASSUMPTIONS!$B$9),"")</f>
        <v/>
      </c>
      <c r="G13" s="28">
        <f>IFERROR(MAX(0,G12*ASSUMPTIONS!$B$9),"")</f>
        <v/>
      </c>
      <c r="H13" s="28">
        <f>IFERROR(MAX(0,H12*ASSUMPTIONS!$B$9),"")</f>
        <v/>
      </c>
      <c r="I13" s="28">
        <f>IFERROR(MAX(0,I12*ASSUMPTIONS!$B$9),"")</f>
        <v/>
      </c>
      <c r="J13" s="28">
        <f>IFERROR(MAX(0,J12*ASSUMPTIONS!$B$9),"")</f>
        <v/>
      </c>
      <c r="K13" s="28">
        <f>IFERROR(MAX(0,K12*ASSUMPTIONS!$B$9),"")</f>
        <v/>
      </c>
    </row>
    <row r="14">
      <c r="A14" s="26" t="inlineStr">
        <is>
          <t>PAT</t>
        </is>
      </c>
      <c r="B14" s="28">
        <f>IFERROR(B12-B13,"")</f>
        <v/>
      </c>
      <c r="C14" s="28">
        <f>IFERROR(C12-C13,"")</f>
        <v/>
      </c>
      <c r="D14" s="28">
        <f>IFERROR(D12-D13,"")</f>
        <v/>
      </c>
      <c r="E14" s="28">
        <f>IFERROR(E12-E13,"")</f>
        <v/>
      </c>
      <c r="F14" s="28">
        <f>IFERROR(F12-F13,"")</f>
        <v/>
      </c>
      <c r="G14" s="28">
        <f>IFERROR(G12-G13,"")</f>
        <v/>
      </c>
      <c r="H14" s="28">
        <f>IFERROR(H12-H13,"")</f>
        <v/>
      </c>
      <c r="I14" s="28">
        <f>IFERROR(I12-I13,"")</f>
        <v/>
      </c>
      <c r="J14" s="28">
        <f>IFERROR(J12-J13,"")</f>
        <v/>
      </c>
      <c r="K14" s="28">
        <f>IFERROR(K12-K13,"")</f>
        <v/>
      </c>
    </row>
    <row r="17">
      <c r="A17" s="234" t="inlineStr">
        <is>
          <t>SOURCE: CASH_FLOW</t>
        </is>
      </c>
    </row>
    <row r="18">
      <c r="A18" s="10" t="inlineStr">
        <is>
          <t>Year</t>
        </is>
      </c>
      <c r="B18" s="10" t="n">
        <v>1</v>
      </c>
      <c r="C18" s="10" t="n">
        <v>2</v>
      </c>
      <c r="D18" s="10" t="n">
        <v>3</v>
      </c>
      <c r="E18" s="10" t="n">
        <v>4</v>
      </c>
      <c r="F18" s="10" t="n">
        <v>5</v>
      </c>
      <c r="G18" s="10" t="n">
        <v>6</v>
      </c>
      <c r="H18" s="10" t="n">
        <v>7</v>
      </c>
      <c r="I18" s="10" t="n">
        <v>8</v>
      </c>
      <c r="J18" s="10" t="n">
        <v>9</v>
      </c>
      <c r="K18" s="10" t="n">
        <v>10</v>
      </c>
    </row>
    <row r="19">
      <c r="A19" s="26" t="inlineStr">
        <is>
          <t>EBITDA</t>
        </is>
      </c>
      <c r="B19" s="28">
        <f>IFERROR(B8,"")</f>
        <v/>
      </c>
      <c r="C19" s="28">
        <f>IFERROR(C8,"")</f>
        <v/>
      </c>
      <c r="D19" s="28">
        <f>IFERROR(D8,"")</f>
        <v/>
      </c>
      <c r="E19" s="28">
        <f>IFERROR(E8,"")</f>
        <v/>
      </c>
      <c r="F19" s="28">
        <f>IFERROR(F8,"")</f>
        <v/>
      </c>
      <c r="G19" s="28">
        <f>IFERROR(G8,"")</f>
        <v/>
      </c>
      <c r="H19" s="28">
        <f>IFERROR(H8,"")</f>
        <v/>
      </c>
      <c r="I19" s="28">
        <f>IFERROR(I8,"")</f>
        <v/>
      </c>
      <c r="J19" s="28">
        <f>IFERROR(J8,"")</f>
        <v/>
      </c>
      <c r="K19" s="28">
        <f>IFERROR(K8,"")</f>
        <v/>
      </c>
    </row>
    <row r="20">
      <c r="A20" s="26" t="inlineStr">
        <is>
          <t>Cash_Tax_Paid</t>
        </is>
      </c>
      <c r="B20" s="28">
        <f>IFERROR(B13,"")</f>
        <v/>
      </c>
      <c r="C20" s="28">
        <f>IFERROR(C13,"")</f>
        <v/>
      </c>
      <c r="D20" s="28">
        <f>IFERROR(D13,"")</f>
        <v/>
      </c>
      <c r="E20" s="28">
        <f>IFERROR(E13,"")</f>
        <v/>
      </c>
      <c r="F20" s="28">
        <f>IFERROR(F13,"")</f>
        <v/>
      </c>
      <c r="G20" s="28">
        <f>IFERROR(G13,"")</f>
        <v/>
      </c>
      <c r="H20" s="28">
        <f>IFERROR(H13,"")</f>
        <v/>
      </c>
      <c r="I20" s="28">
        <f>IFERROR(I13,"")</f>
        <v/>
      </c>
      <c r="J20" s="28">
        <f>IFERROR(J13,"")</f>
        <v/>
      </c>
      <c r="K20" s="28">
        <f>IFERROR(K13,"")</f>
        <v/>
      </c>
    </row>
    <row r="21">
      <c r="A21" s="26" t="inlineStr">
        <is>
          <t>Delta_NWC</t>
        </is>
      </c>
      <c r="B21" s="28">
        <f>IFERROR(WORKING_CAPITAL!B8,"")</f>
        <v/>
      </c>
      <c r="C21" s="28">
        <f>IFERROR(WORKING_CAPITAL!C8,"")</f>
        <v/>
      </c>
      <c r="D21" s="28">
        <f>IFERROR(WORKING_CAPITAL!D8,"")</f>
        <v/>
      </c>
      <c r="E21" s="28">
        <f>IFERROR(WORKING_CAPITAL!E8,"")</f>
        <v/>
      </c>
      <c r="F21" s="28">
        <f>IFERROR(WORKING_CAPITAL!F8,"")</f>
        <v/>
      </c>
      <c r="G21" s="28">
        <f>IFERROR(WORKING_CAPITAL!G8,"")</f>
        <v/>
      </c>
      <c r="H21" s="28">
        <f>IFERROR(WORKING_CAPITAL!H8,"")</f>
        <v/>
      </c>
      <c r="I21" s="28">
        <f>IFERROR(WORKING_CAPITAL!I8,"")</f>
        <v/>
      </c>
      <c r="J21" s="28">
        <f>IFERROR(WORKING_CAPITAL!J8,"")</f>
        <v/>
      </c>
      <c r="K21" s="28">
        <f>IFERROR(WORKING_CAPITAL!K8,"")</f>
        <v/>
      </c>
    </row>
    <row r="22">
      <c r="A22" s="26" t="inlineStr">
        <is>
          <t>CFO</t>
        </is>
      </c>
      <c r="B22" s="28">
        <f>IFERROR(CASHFLOW!B154,"")</f>
        <v/>
      </c>
      <c r="C22" s="28">
        <f>IFERROR(CASHFLOW!C154,"")</f>
        <v/>
      </c>
      <c r="D22" s="28">
        <f>IFERROR(CASHFLOW!D154,"")</f>
        <v/>
      </c>
      <c r="E22" s="28">
        <f>IFERROR(CASHFLOW!E154,"")</f>
        <v/>
      </c>
      <c r="F22" s="28">
        <f>IFERROR(CASHFLOW!F154,"")</f>
        <v/>
      </c>
      <c r="G22" s="28">
        <f>IFERROR(CASHFLOW!G154,"")</f>
        <v/>
      </c>
      <c r="H22" s="28">
        <f>IFERROR(CASHFLOW!H154,"")</f>
        <v/>
      </c>
      <c r="I22" s="28">
        <f>IFERROR(CASHFLOW!I154,"")</f>
        <v/>
      </c>
      <c r="J22" s="28">
        <f>IFERROR(CASHFLOW!J154,"")</f>
        <v/>
      </c>
      <c r="K22" s="28">
        <f>IFERROR(CASHFLOW!K154,"")</f>
        <v/>
      </c>
    </row>
    <row r="23">
      <c r="A23" s="26" t="inlineStr">
        <is>
          <t>Cash_CAPEX</t>
        </is>
      </c>
      <c r="B23" s="28">
        <f>IFERROR(CAPEX!D$11-IF(B18=1,ASSUMPTIONS!$B$10,0),"")</f>
        <v/>
      </c>
      <c r="C23" s="28">
        <f>IFERROR(CAPEX!E$11-IF(C18=1,ASSUMPTIONS!$B$10,0),"")</f>
        <v/>
      </c>
      <c r="D23" s="28">
        <f>IFERROR(CAPEX!F$11-IF(D18=1,ASSUMPTIONS!$B$10,0),"")</f>
        <v/>
      </c>
      <c r="E23" s="28">
        <f>IFERROR(CAPEX!G$11-IF(E18=1,ASSUMPTIONS!$B$10,0),"")</f>
        <v/>
      </c>
      <c r="F23" s="28">
        <f>IFERROR(CAPEX!H$11-IF(F18=1,ASSUMPTIONS!$B$10,0),"")</f>
        <v/>
      </c>
      <c r="G23" s="28">
        <f>IFERROR(CAPEX!I$11-IF(G18=1,ASSUMPTIONS!$B$10,0),"")</f>
        <v/>
      </c>
      <c r="H23" s="28">
        <f>IFERROR(CAPEX!J$11-IF(H18=1,ASSUMPTIONS!$B$10,0),"")</f>
        <v/>
      </c>
      <c r="I23" s="28">
        <f>IFERROR(CAPEX!K$11-IF(I18=1,ASSUMPTIONS!$B$10,0),"")</f>
        <v/>
      </c>
      <c r="J23" s="28">
        <f>IFERROR(CAPEX!L$11-IF(J18=1,ASSUMPTIONS!$B$10,0),"")</f>
        <v/>
      </c>
      <c r="K23" s="28">
        <f>IFERROR(CAPEX!M$11-IF(K18=1,ASSUMPTIONS!$B$10,0),"")</f>
        <v/>
      </c>
    </row>
    <row r="24">
      <c r="A24" s="26" t="inlineStr">
        <is>
          <t>CFI</t>
        </is>
      </c>
      <c r="B24" s="28">
        <f>IFERROR(-B23,"")</f>
        <v/>
      </c>
      <c r="C24" s="28">
        <f>IFERROR(-C23,"")</f>
        <v/>
      </c>
      <c r="D24" s="28">
        <f>IFERROR(-D23,"")</f>
        <v/>
      </c>
      <c r="E24" s="28">
        <f>IFERROR(-E23,"")</f>
        <v/>
      </c>
      <c r="F24" s="28">
        <f>IFERROR(-F23,"")</f>
        <v/>
      </c>
      <c r="G24" s="28">
        <f>IFERROR(-G23,"")</f>
        <v/>
      </c>
      <c r="H24" s="28">
        <f>IFERROR(-H23,"")</f>
        <v/>
      </c>
      <c r="I24" s="28">
        <f>IFERROR(-I23,"")</f>
        <v/>
      </c>
      <c r="J24" s="28">
        <f>IFERROR(-J23,"")</f>
        <v/>
      </c>
      <c r="K24" s="28">
        <f>IFERROR(-K23,"")</f>
        <v/>
      </c>
    </row>
    <row r="25">
      <c r="A25" s="26" t="inlineStr">
        <is>
          <t>Debt_Draw</t>
        </is>
      </c>
      <c r="B25" s="28">
        <f>IFERROR(IF(B18=1,ASSUMPTIONS!$B$5,0),"")</f>
        <v/>
      </c>
      <c r="C25" s="28">
        <f>IFERROR(IF(C18=1,ASSUMPTIONS!$B$5,0),"")</f>
        <v/>
      </c>
      <c r="D25" s="28">
        <f>IFERROR(IF(D18=1,ASSUMPTIONS!$B$5,0),"")</f>
        <v/>
      </c>
      <c r="E25" s="28">
        <f>IFERROR(IF(E18=1,ASSUMPTIONS!$B$5,0),"")</f>
        <v/>
      </c>
      <c r="F25" s="28">
        <f>IFERROR(IF(F18=1,ASSUMPTIONS!$B$5,0),"")</f>
        <v/>
      </c>
      <c r="G25" s="28">
        <f>IFERROR(IF(G18=1,ASSUMPTIONS!$B$5,0),"")</f>
        <v/>
      </c>
      <c r="H25" s="28">
        <f>IFERROR(IF(H18=1,ASSUMPTIONS!$B$5,0),"")</f>
        <v/>
      </c>
      <c r="I25" s="28">
        <f>IFERROR(IF(I18=1,ASSUMPTIONS!$B$5,0),"")</f>
        <v/>
      </c>
      <c r="J25" s="28">
        <f>IFERROR(IF(J18=1,ASSUMPTIONS!$B$5,0),"")</f>
        <v/>
      </c>
      <c r="K25" s="28">
        <f>IFERROR(IF(K18=1,ASSUMPTIONS!$B$5,0),"")</f>
        <v/>
      </c>
    </row>
    <row r="26">
      <c r="A26" s="26" t="inlineStr">
        <is>
          <t>Debt_Service</t>
        </is>
      </c>
      <c r="B26" s="28">
        <f>IFERROR(FUNDING_DEBT!G57,"")</f>
        <v/>
      </c>
      <c r="C26" s="28">
        <f>IFERROR(FUNDING_DEBT!G58,"")</f>
        <v/>
      </c>
      <c r="D26" s="28">
        <f>IFERROR(FUNDING_DEBT!G59,"")</f>
        <v/>
      </c>
      <c r="E26" s="28">
        <f>IFERROR(FUNDING_DEBT!G60,"")</f>
        <v/>
      </c>
      <c r="F26" s="28">
        <f>IFERROR(FUNDING_DEBT!G61,"")</f>
        <v/>
      </c>
      <c r="G26" s="28">
        <f>IFERROR(FUNDING_DEBT!G62,"")</f>
        <v/>
      </c>
      <c r="H26" s="28">
        <f>IFERROR(FUNDING_DEBT!G63,"")</f>
        <v/>
      </c>
      <c r="I26" s="28">
        <f>IFERROR(FUNDING_DEBT!G64,"")</f>
        <v/>
      </c>
      <c r="J26" s="28">
        <f>IFERROR(FUNDING_DEBT!G65,"")</f>
        <v/>
      </c>
      <c r="K26" s="28">
        <f>IFERROR(FUNDING_DEBT!G66,"")</f>
        <v/>
      </c>
    </row>
    <row r="27">
      <c r="A27" s="26" t="inlineStr">
        <is>
          <t>Cash_Equity</t>
        </is>
      </c>
      <c r="B27" s="28">
        <f>IFERROR(IF(B18=1,ASSUMPTIONS!$B$11,IF(B18=2,ASSUMPTIONS!$B$12,0)),"")</f>
        <v/>
      </c>
      <c r="C27" s="28">
        <f>IFERROR(IF(C18=1,ASSUMPTIONS!$B$11,IF(C18=2,ASSUMPTIONS!$B$12,0)),"")</f>
        <v/>
      </c>
      <c r="D27" s="28">
        <f>IFERROR(IF(D18=1,ASSUMPTIONS!$B$11,IF(D18=2,ASSUMPTIONS!$B$12,0)),"")</f>
        <v/>
      </c>
      <c r="E27" s="28">
        <f>IFERROR(IF(E18=1,ASSUMPTIONS!$B$11,IF(E18=2,ASSUMPTIONS!$B$12,0)),"")</f>
        <v/>
      </c>
      <c r="F27" s="28">
        <f>IFERROR(IF(F18=1,ASSUMPTIONS!$B$11,IF(F18=2,ASSUMPTIONS!$B$12,0)),"")</f>
        <v/>
      </c>
      <c r="G27" s="28">
        <f>IFERROR(IF(G18=1,ASSUMPTIONS!$B$11,IF(G18=2,ASSUMPTIONS!$B$12,0)),"")</f>
        <v/>
      </c>
      <c r="H27" s="28">
        <f>IFERROR(IF(H18=1,ASSUMPTIONS!$B$11,IF(H18=2,ASSUMPTIONS!$B$12,0)),"")</f>
        <v/>
      </c>
      <c r="I27" s="28">
        <f>IFERROR(IF(I18=1,ASSUMPTIONS!$B$11,IF(I18=2,ASSUMPTIONS!$B$12,0)),"")</f>
        <v/>
      </c>
      <c r="J27" s="28">
        <f>IFERROR(IF(J18=1,ASSUMPTIONS!$B$11,IF(J18=2,ASSUMPTIONS!$B$12,0)),"")</f>
        <v/>
      </c>
      <c r="K27" s="28">
        <f>IFERROR(IF(K18=1,ASSUMPTIONS!$B$11,IF(K18=2,ASSUMPTIONS!$B$12,0)),"")</f>
        <v/>
      </c>
    </row>
    <row r="28">
      <c r="A28" s="26" t="inlineStr">
        <is>
          <t>Net_Cash_Flow</t>
        </is>
      </c>
      <c r="B28" s="28">
        <f>IFERROR(B22+B24+B25-B26+B27,"")</f>
        <v/>
      </c>
      <c r="C28" s="28">
        <f>IFERROR(C22+C24+C25-C26+C27,"")</f>
        <v/>
      </c>
      <c r="D28" s="28">
        <f>IFERROR(D22+D24+D25-D26+D27,"")</f>
        <v/>
      </c>
      <c r="E28" s="28">
        <f>IFERROR(E22+E24+E25-E26+E27,"")</f>
        <v/>
      </c>
      <c r="F28" s="28">
        <f>IFERROR(F22+F24+F25-F26+F27,"")</f>
        <v/>
      </c>
      <c r="G28" s="28">
        <f>IFERROR(G22+G24+G25-G26+G27,"")</f>
        <v/>
      </c>
      <c r="H28" s="28">
        <f>IFERROR(H22+H24+H25-H26+H27,"")</f>
        <v/>
      </c>
      <c r="I28" s="28">
        <f>IFERROR(I22+I24+I25-I26+I27,"")</f>
        <v/>
      </c>
      <c r="J28" s="28">
        <f>IFERROR(J22+J24+J25-J26+J27,"")</f>
        <v/>
      </c>
      <c r="K28" s="28">
        <f>IFERROR(K22+K24+K25-K26+K27,"")</f>
        <v/>
      </c>
    </row>
    <row r="29">
      <c r="A29" s="26" t="inlineStr">
        <is>
          <t>Ending_Cash</t>
        </is>
      </c>
      <c r="B29" s="28">
        <f>IFERROR(B28,"")</f>
        <v/>
      </c>
      <c r="C29" s="28">
        <f>IFERROR(B29+C28,"")</f>
        <v/>
      </c>
      <c r="D29" s="28">
        <f>IFERROR(C29+D28,"")</f>
        <v/>
      </c>
      <c r="E29" s="28">
        <f>IFERROR(D29+E28,"")</f>
        <v/>
      </c>
      <c r="F29" s="28">
        <f>IFERROR(E29+F28,"")</f>
        <v/>
      </c>
      <c r="G29" s="28">
        <f>IFERROR(F29+G28,"")</f>
        <v/>
      </c>
      <c r="H29" s="28">
        <f>IFERROR(G29+H28,"")</f>
        <v/>
      </c>
      <c r="I29" s="28">
        <f>IFERROR(H29+I28,"")</f>
        <v/>
      </c>
      <c r="J29" s="28">
        <f>IFERROR(I29+J28,"")</f>
        <v/>
      </c>
      <c r="K29" s="28">
        <f>IFERROR(J29+K28,"")</f>
        <v/>
      </c>
    </row>
    <row r="32">
      <c r="A32" s="234" t="inlineStr">
        <is>
          <t>SOURCE: BALANCE_SHEET</t>
        </is>
      </c>
    </row>
    <row r="33">
      <c r="A33" s="10" t="inlineStr">
        <is>
          <t>Year</t>
        </is>
      </c>
      <c r="B33" s="10" t="n">
        <v>1</v>
      </c>
      <c r="C33" s="10" t="n">
        <v>2</v>
      </c>
      <c r="D33" s="10" t="n">
        <v>3</v>
      </c>
      <c r="E33" s="10" t="n">
        <v>4</v>
      </c>
      <c r="F33" s="10" t="n">
        <v>5</v>
      </c>
      <c r="G33" s="10" t="n">
        <v>6</v>
      </c>
      <c r="H33" s="10" t="n">
        <v>7</v>
      </c>
      <c r="I33" s="10" t="n">
        <v>8</v>
      </c>
      <c r="J33" s="10" t="n">
        <v>9</v>
      </c>
      <c r="K33" s="10" t="n">
        <v>10</v>
      </c>
    </row>
    <row r="34">
      <c r="A34" s="49" t="inlineStr">
        <is>
          <t>Assets</t>
        </is>
      </c>
      <c r="B34" s="50" t="n"/>
      <c r="C34" s="50" t="n"/>
      <c r="D34" s="50" t="n"/>
      <c r="E34" s="50" t="n"/>
      <c r="F34" s="50" t="n"/>
      <c r="G34" s="50" t="n"/>
      <c r="H34" s="50" t="n"/>
      <c r="I34" s="50" t="n"/>
      <c r="J34" s="50" t="n"/>
      <c r="K34" s="50" t="n"/>
    </row>
    <row r="35">
      <c r="A35" s="26" t="inlineStr">
        <is>
          <t>Cash</t>
        </is>
      </c>
      <c r="B35" s="28">
        <f>IFERROR(B29,"")</f>
        <v/>
      </c>
      <c r="C35" s="28">
        <f>IFERROR(C29,"")</f>
        <v/>
      </c>
      <c r="D35" s="28">
        <f>IFERROR(D29,"")</f>
        <v/>
      </c>
      <c r="E35" s="28">
        <f>IFERROR(E29,"")</f>
        <v/>
      </c>
      <c r="F35" s="28">
        <f>IFERROR(F29,"")</f>
        <v/>
      </c>
      <c r="G35" s="28">
        <f>IFERROR(G29,"")</f>
        <v/>
      </c>
      <c r="H35" s="28">
        <f>IFERROR(H29,"")</f>
        <v/>
      </c>
      <c r="I35" s="28">
        <f>IFERROR(I29,"")</f>
        <v/>
      </c>
      <c r="J35" s="28">
        <f>IFERROR(J29,"")</f>
        <v/>
      </c>
      <c r="K35" s="28">
        <f>IFERROR(K29,"")</f>
        <v/>
      </c>
    </row>
    <row r="36">
      <c r="A36" s="26" t="inlineStr">
        <is>
          <t>Receivables</t>
        </is>
      </c>
      <c r="B36" s="28">
        <f>IFERROR(WORKING_CAPITAL!B4,"")</f>
        <v/>
      </c>
      <c r="C36" s="28">
        <f>IFERROR(WORKING_CAPITAL!C4,"")</f>
        <v/>
      </c>
      <c r="D36" s="28">
        <f>IFERROR(WORKING_CAPITAL!D4,"")</f>
        <v/>
      </c>
      <c r="E36" s="28">
        <f>IFERROR(WORKING_CAPITAL!E4,"")</f>
        <v/>
      </c>
      <c r="F36" s="28">
        <f>IFERROR(WORKING_CAPITAL!F4,"")</f>
        <v/>
      </c>
      <c r="G36" s="28">
        <f>IFERROR(WORKING_CAPITAL!G4,"")</f>
        <v/>
      </c>
      <c r="H36" s="28">
        <f>IFERROR(WORKING_CAPITAL!H4,"")</f>
        <v/>
      </c>
      <c r="I36" s="28">
        <f>IFERROR(WORKING_CAPITAL!I4,"")</f>
        <v/>
      </c>
      <c r="J36" s="28">
        <f>IFERROR(WORKING_CAPITAL!J4,"")</f>
        <v/>
      </c>
      <c r="K36" s="28">
        <f>IFERROR(WORKING_CAPITAL!K4,"")</f>
        <v/>
      </c>
    </row>
    <row r="37">
      <c r="A37" s="26" t="inlineStr">
        <is>
          <t>Inventory</t>
        </is>
      </c>
      <c r="B37" s="28">
        <f>IFERROR(WORKING_CAPITAL!B5,"")</f>
        <v/>
      </c>
      <c r="C37" s="28">
        <f>IFERROR(WORKING_CAPITAL!C5,"")</f>
        <v/>
      </c>
      <c r="D37" s="28">
        <f>IFERROR(WORKING_CAPITAL!D5,"")</f>
        <v/>
      </c>
      <c r="E37" s="28">
        <f>IFERROR(WORKING_CAPITAL!E5,"")</f>
        <v/>
      </c>
      <c r="F37" s="28">
        <f>IFERROR(WORKING_CAPITAL!F5,"")</f>
        <v/>
      </c>
      <c r="G37" s="28">
        <f>IFERROR(WORKING_CAPITAL!G5,"")</f>
        <v/>
      </c>
      <c r="H37" s="28">
        <f>IFERROR(WORKING_CAPITAL!H5,"")</f>
        <v/>
      </c>
      <c r="I37" s="28">
        <f>IFERROR(WORKING_CAPITAL!I5,"")</f>
        <v/>
      </c>
      <c r="J37" s="28">
        <f>IFERROR(WORKING_CAPITAL!J5,"")</f>
        <v/>
      </c>
      <c r="K37" s="28">
        <f>IFERROR(WORKING_CAPITAL!K5,"")</f>
        <v/>
      </c>
    </row>
    <row r="38">
      <c r="A38" s="26" t="inlineStr">
        <is>
          <t>Net_PPE</t>
        </is>
      </c>
      <c r="B38" s="28">
        <f>IFERROR(CAPEX!D$15,"")</f>
        <v/>
      </c>
      <c r="C38" s="28">
        <f>IFERROR(CAPEX!E$15,"")</f>
        <v/>
      </c>
      <c r="D38" s="28">
        <f>IFERROR(CAPEX!F$15,"")</f>
        <v/>
      </c>
      <c r="E38" s="28">
        <f>IFERROR(CAPEX!G$15,"")</f>
        <v/>
      </c>
      <c r="F38" s="28">
        <f>IFERROR(CAPEX!H$15,"")</f>
        <v/>
      </c>
      <c r="G38" s="28">
        <f>IFERROR(CAPEX!I$15,"")</f>
        <v/>
      </c>
      <c r="H38" s="28">
        <f>IFERROR(CAPEX!J$15,"")</f>
        <v/>
      </c>
      <c r="I38" s="28">
        <f>IFERROR(CAPEX!K$15,"")</f>
        <v/>
      </c>
      <c r="J38" s="28">
        <f>IFERROR(CAPEX!L$15,"")</f>
        <v/>
      </c>
      <c r="K38" s="28">
        <f>IFERROR(CAPEX!M$15,"")</f>
        <v/>
      </c>
    </row>
    <row r="39">
      <c r="A39" s="26" t="inlineStr">
        <is>
          <t>Total_Assets</t>
        </is>
      </c>
      <c r="B39" s="28">
        <f>IFERROR(SUM(B35:B38),"")</f>
        <v/>
      </c>
      <c r="C39" s="28">
        <f>IFERROR(SUM(C35:C38),"")</f>
        <v/>
      </c>
      <c r="D39" s="28">
        <f>IFERROR(SUM(D35:D38),"")</f>
        <v/>
      </c>
      <c r="E39" s="28">
        <f>IFERROR(SUM(E35:E38),"")</f>
        <v/>
      </c>
      <c r="F39" s="28">
        <f>IFERROR(SUM(F35:F38),"")</f>
        <v/>
      </c>
      <c r="G39" s="28">
        <f>IFERROR(SUM(G35:G38),"")</f>
        <v/>
      </c>
      <c r="H39" s="28">
        <f>IFERROR(SUM(H35:H38),"")</f>
        <v/>
      </c>
      <c r="I39" s="28">
        <f>IFERROR(SUM(I35:I38),"")</f>
        <v/>
      </c>
      <c r="J39" s="28">
        <f>IFERROR(SUM(J35:J38),"")</f>
        <v/>
      </c>
      <c r="K39" s="28">
        <f>IFERROR(SUM(K35:K38),"")</f>
        <v/>
      </c>
    </row>
    <row r="40">
      <c r="A40" s="26" t="inlineStr">
        <is>
          <t>Liabilities</t>
        </is>
      </c>
    </row>
    <row r="41">
      <c r="A41" s="26" t="inlineStr">
        <is>
          <t>Payables</t>
        </is>
      </c>
      <c r="B41" s="28">
        <f>IFERROR(WORKING_CAPITAL!B6,"")</f>
        <v/>
      </c>
      <c r="C41" s="28">
        <f>IFERROR(WORKING_CAPITAL!C6,"")</f>
        <v/>
      </c>
      <c r="D41" s="28">
        <f>IFERROR(WORKING_CAPITAL!D6,"")</f>
        <v/>
      </c>
      <c r="E41" s="28">
        <f>IFERROR(WORKING_CAPITAL!E6,"")</f>
        <v/>
      </c>
      <c r="F41" s="28">
        <f>IFERROR(WORKING_CAPITAL!F6,"")</f>
        <v/>
      </c>
      <c r="G41" s="28">
        <f>IFERROR(WORKING_CAPITAL!G6,"")</f>
        <v/>
      </c>
      <c r="H41" s="28">
        <f>IFERROR(WORKING_CAPITAL!H6,"")</f>
        <v/>
      </c>
      <c r="I41" s="28">
        <f>IFERROR(WORKING_CAPITAL!I6,"")</f>
        <v/>
      </c>
      <c r="J41" s="28">
        <f>IFERROR(WORKING_CAPITAL!J6,"")</f>
        <v/>
      </c>
      <c r="K41" s="28">
        <f>IFERROR(WORKING_CAPITAL!K6,"")</f>
        <v/>
      </c>
    </row>
    <row r="42">
      <c r="A42" s="26" t="inlineStr">
        <is>
          <t>Loan_Balance</t>
        </is>
      </c>
      <c r="B42" s="28">
        <f>IFERROR(FUNDING_DEBT!I57,"")</f>
        <v/>
      </c>
      <c r="C42" s="28">
        <f>IFERROR(FUNDING_DEBT!I58,"")</f>
        <v/>
      </c>
      <c r="D42" s="28">
        <f>IFERROR(FUNDING_DEBT!I59,"")</f>
        <v/>
      </c>
      <c r="E42" s="28">
        <f>IFERROR(FUNDING_DEBT!I60,"")</f>
        <v/>
      </c>
      <c r="F42" s="28">
        <f>IFERROR(FUNDING_DEBT!I61,"")</f>
        <v/>
      </c>
      <c r="G42" s="28">
        <f>IFERROR(FUNDING_DEBT!I62,"")</f>
        <v/>
      </c>
      <c r="H42" s="28">
        <f>IFERROR(FUNDING_DEBT!I63,"")</f>
        <v/>
      </c>
      <c r="I42" s="28">
        <f>IFERROR(FUNDING_DEBT!I64,"")</f>
        <v/>
      </c>
      <c r="J42" s="28">
        <f>IFERROR(FUNDING_DEBT!I65,"")</f>
        <v/>
      </c>
      <c r="K42" s="28">
        <f>IFERROR(FUNDING_DEBT!I66,"")</f>
        <v/>
      </c>
    </row>
    <row r="43">
      <c r="A43" s="26" t="inlineStr">
        <is>
          <t>Total_Liabilities</t>
        </is>
      </c>
      <c r="B43" s="28">
        <f>IFERROR(SUM(B41:B42),"")</f>
        <v/>
      </c>
      <c r="C43" s="28">
        <f>IFERROR(SUM(C41:C42),"")</f>
        <v/>
      </c>
      <c r="D43" s="28">
        <f>IFERROR(SUM(D41:D42),"")</f>
        <v/>
      </c>
      <c r="E43" s="28">
        <f>IFERROR(SUM(E41:E42),"")</f>
        <v/>
      </c>
      <c r="F43" s="28">
        <f>IFERROR(SUM(F41:F42),"")</f>
        <v/>
      </c>
      <c r="G43" s="28">
        <f>IFERROR(SUM(G41:G42),"")</f>
        <v/>
      </c>
      <c r="H43" s="28">
        <f>IFERROR(SUM(H41:H42),"")</f>
        <v/>
      </c>
      <c r="I43" s="28">
        <f>IFERROR(SUM(I41:I42),"")</f>
        <v/>
      </c>
      <c r="J43" s="28">
        <f>IFERROR(SUM(J41:J42),"")</f>
        <v/>
      </c>
      <c r="K43" s="28">
        <f>IFERROR(SUM(K41:K42),"")</f>
        <v/>
      </c>
    </row>
    <row r="44">
      <c r="A44" s="26" t="inlineStr">
        <is>
          <t>Equity</t>
        </is>
      </c>
    </row>
    <row r="45">
      <c r="A45" s="26" t="inlineStr">
        <is>
          <t>Share_Capital</t>
        </is>
      </c>
      <c r="B45" s="28">
        <f>IFERROR(ASSUMPTIONS!$B$10+SUM($B$27:B27),"")</f>
        <v/>
      </c>
      <c r="C45" s="28">
        <f>IFERROR(ASSUMPTIONS!$B$10+SUM($B$27:C27),"")</f>
        <v/>
      </c>
      <c r="D45" s="28">
        <f>IFERROR(ASSUMPTIONS!$B$10+SUM($B$27:D27),"")</f>
        <v/>
      </c>
      <c r="E45" s="28">
        <f>IFERROR(ASSUMPTIONS!$B$10+SUM($B$27:E27),"")</f>
        <v/>
      </c>
      <c r="F45" s="28">
        <f>IFERROR(ASSUMPTIONS!$B$10+SUM($B$27:F27),"")</f>
        <v/>
      </c>
      <c r="G45" s="28">
        <f>IFERROR(ASSUMPTIONS!$B$10+SUM($B$27:G27),"")</f>
        <v/>
      </c>
      <c r="H45" s="28">
        <f>IFERROR(ASSUMPTIONS!$B$10+SUM($B$27:H27),"")</f>
        <v/>
      </c>
      <c r="I45" s="28">
        <f>IFERROR(ASSUMPTIONS!$B$10+SUM($B$27:I27),"")</f>
        <v/>
      </c>
      <c r="J45" s="28">
        <f>IFERROR(ASSUMPTIONS!$B$10+SUM($B$27:J27),"")</f>
        <v/>
      </c>
      <c r="K45" s="28">
        <f>IFERROR(ASSUMPTIONS!$B$10+SUM($B$27:K27),"")</f>
        <v/>
      </c>
    </row>
    <row r="46">
      <c r="A46" s="26" t="inlineStr">
        <is>
          <t>Retained_Earnings</t>
        </is>
      </c>
      <c r="B46" s="28">
        <f>IFERROR(B14,"")</f>
        <v/>
      </c>
      <c r="C46" s="28">
        <f>IFERROR(B46+C14,"")</f>
        <v/>
      </c>
      <c r="D46" s="28">
        <f>IFERROR(C46+D14,"")</f>
        <v/>
      </c>
      <c r="E46" s="28">
        <f>IFERROR(D46+E14,"")</f>
        <v/>
      </c>
      <c r="F46" s="28">
        <f>IFERROR(E46+F14,"")</f>
        <v/>
      </c>
      <c r="G46" s="28">
        <f>IFERROR(F46+G14,"")</f>
        <v/>
      </c>
      <c r="H46" s="28">
        <f>IFERROR(G46+H14,"")</f>
        <v/>
      </c>
      <c r="I46" s="28">
        <f>IFERROR(H46+I14,"")</f>
        <v/>
      </c>
      <c r="J46" s="28">
        <f>IFERROR(I46+J14,"")</f>
        <v/>
      </c>
      <c r="K46" s="28">
        <f>IFERROR(J46+K14,"")</f>
        <v/>
      </c>
    </row>
    <row r="47">
      <c r="A47" s="26" t="inlineStr">
        <is>
          <t>Total_Equity</t>
        </is>
      </c>
      <c r="B47" s="28">
        <f>IFERROR(B45+B46,"")</f>
        <v/>
      </c>
      <c r="C47" s="28">
        <f>IFERROR(C45+C46,"")</f>
        <v/>
      </c>
      <c r="D47" s="28">
        <f>IFERROR(D45+D46,"")</f>
        <v/>
      </c>
      <c r="E47" s="28">
        <f>IFERROR(E45+E46,"")</f>
        <v/>
      </c>
      <c r="F47" s="28">
        <f>IFERROR(F45+F46,"")</f>
        <v/>
      </c>
      <c r="G47" s="28">
        <f>IFERROR(G45+G46,"")</f>
        <v/>
      </c>
      <c r="H47" s="28">
        <f>IFERROR(H45+H46,"")</f>
        <v/>
      </c>
      <c r="I47" s="28">
        <f>IFERROR(I45+I46,"")</f>
        <v/>
      </c>
      <c r="J47" s="28">
        <f>IFERROR(J45+J46,"")</f>
        <v/>
      </c>
      <c r="K47" s="28">
        <f>IFERROR(K45+K46,"")</f>
        <v/>
      </c>
    </row>
    <row r="48">
      <c r="A48" s="26" t="inlineStr">
        <is>
          <t>Balance_Check</t>
        </is>
      </c>
      <c r="B48" s="28">
        <f>IFERROR(B39-(B43+B47),"")</f>
        <v/>
      </c>
      <c r="C48" s="28">
        <f>IFERROR(C39-(C43+C47),"")</f>
        <v/>
      </c>
      <c r="D48" s="28">
        <f>IFERROR(D39-(D43+D47),"")</f>
        <v/>
      </c>
      <c r="E48" s="28">
        <f>IFERROR(E39-(E43+E47),"")</f>
        <v/>
      </c>
      <c r="F48" s="28">
        <f>IFERROR(F39-(F43+F47),"")</f>
        <v/>
      </c>
      <c r="G48" s="28">
        <f>IFERROR(G39-(G43+G47),"")</f>
        <v/>
      </c>
      <c r="H48" s="28">
        <f>IFERROR(H39-(H43+H47),"")</f>
        <v/>
      </c>
      <c r="I48" s="28">
        <f>IFERROR(I39-(I43+I47),"")</f>
        <v/>
      </c>
      <c r="J48" s="28">
        <f>IFERROR(J39-(J43+J47),"")</f>
        <v/>
      </c>
      <c r="K48" s="28">
        <f>IFERROR(K39-(K43+K47),"")</f>
        <v/>
      </c>
    </row>
    <row r="51">
      <c r="A51" s="234" t="inlineStr">
        <is>
          <t>SOURCE: RATIOS</t>
        </is>
      </c>
    </row>
    <row r="52">
      <c r="A52" s="10" t="inlineStr">
        <is>
          <t>Year</t>
        </is>
      </c>
      <c r="B52" s="10" t="n">
        <v>1</v>
      </c>
      <c r="C52" s="10" t="n">
        <v>2</v>
      </c>
      <c r="D52" s="10" t="n">
        <v>3</v>
      </c>
      <c r="E52" s="10" t="n">
        <v>4</v>
      </c>
      <c r="F52" s="10" t="n">
        <v>5</v>
      </c>
      <c r="G52" s="10" t="n">
        <v>6</v>
      </c>
      <c r="H52" s="10" t="n">
        <v>7</v>
      </c>
      <c r="I52" s="10" t="n">
        <v>8</v>
      </c>
      <c r="J52" s="10" t="n">
        <v>9</v>
      </c>
      <c r="K52" s="10" t="n">
        <v>10</v>
      </c>
    </row>
    <row r="53">
      <c r="A53" s="26" t="inlineStr">
        <is>
          <t>CFADS</t>
        </is>
      </c>
      <c r="B53" s="28">
        <f>IFERROR(B22,"")</f>
        <v/>
      </c>
      <c r="C53" s="28">
        <f>IFERROR(C22,"")</f>
        <v/>
      </c>
      <c r="D53" s="28">
        <f>IFERROR(D22,"")</f>
        <v/>
      </c>
      <c r="E53" s="28">
        <f>IFERROR(E22,"")</f>
        <v/>
      </c>
      <c r="F53" s="28">
        <f>IFERROR(F22,"")</f>
        <v/>
      </c>
      <c r="G53" s="28">
        <f>IFERROR(G22,"")</f>
        <v/>
      </c>
      <c r="H53" s="28">
        <f>IFERROR(H22,"")</f>
        <v/>
      </c>
      <c r="I53" s="28">
        <f>IFERROR(I22,"")</f>
        <v/>
      </c>
      <c r="J53" s="28">
        <f>IFERROR(J22,"")</f>
        <v/>
      </c>
      <c r="K53" s="28">
        <f>IFERROR(K22,"")</f>
        <v/>
      </c>
    </row>
    <row r="54">
      <c r="A54" s="26" t="inlineStr">
        <is>
          <t>Debt_Service</t>
        </is>
      </c>
      <c r="B54" s="28">
        <f>IFERROR(FUNDING_DEBT!G57,"")</f>
        <v/>
      </c>
      <c r="C54" s="28">
        <f>IFERROR(FUNDING_DEBT!G58,"")</f>
        <v/>
      </c>
      <c r="D54" s="28">
        <f>IFERROR(FUNDING_DEBT!G59,"")</f>
        <v/>
      </c>
      <c r="E54" s="28">
        <f>IFERROR(FUNDING_DEBT!G60,"")</f>
        <v/>
      </c>
      <c r="F54" s="28">
        <f>IFERROR(FUNDING_DEBT!G61,"")</f>
        <v/>
      </c>
      <c r="G54" s="28">
        <f>IFERROR(FUNDING_DEBT!G62,"")</f>
        <v/>
      </c>
      <c r="H54" s="28">
        <f>IFERROR(FUNDING_DEBT!G63,"")</f>
        <v/>
      </c>
      <c r="I54" s="28">
        <f>IFERROR(FUNDING_DEBT!G64,"")</f>
        <v/>
      </c>
      <c r="J54" s="28">
        <f>IFERROR(FUNDING_DEBT!G65,"")</f>
        <v/>
      </c>
      <c r="K54" s="28">
        <f>IFERROR(FUNDING_DEBT!G66,"")</f>
        <v/>
      </c>
    </row>
    <row r="55">
      <c r="A55" s="26" t="inlineStr">
        <is>
          <t>DSCR</t>
        </is>
      </c>
      <c r="B55" s="387">
        <f>IFERROR(IF(B54=0,"",B53/B54),"")</f>
        <v/>
      </c>
      <c r="C55" s="387">
        <f>IFERROR(IF(C54=0,"",C53/C54),"")</f>
        <v/>
      </c>
      <c r="D55" s="387">
        <f>IFERROR(IF(D54=0,"",D53/D54),"")</f>
        <v/>
      </c>
      <c r="E55" s="387">
        <f>IFERROR(IF(E54=0,"",E53/E54),"")</f>
        <v/>
      </c>
      <c r="F55" s="387">
        <f>IFERROR(IF(F54=0,"",F53/F54),"")</f>
        <v/>
      </c>
      <c r="G55" s="387">
        <f>IFERROR(IF(G54=0,"",G53/G54),"")</f>
        <v/>
      </c>
      <c r="H55" s="387">
        <f>IFERROR(IF(H54=0,"",H53/H54),"")</f>
        <v/>
      </c>
      <c r="I55" s="387">
        <f>IFERROR(IF(I54=0,"",I53/I54),"")</f>
        <v/>
      </c>
      <c r="J55" s="387">
        <f>IFERROR(IF(J54=0,"",J53/J54),"")</f>
        <v/>
      </c>
      <c r="K55" s="387">
        <f>IFERROR(IF(K54=0,"",K53/K54),"")</f>
        <v/>
      </c>
    </row>
    <row r="56">
      <c r="A56" s="26" t="inlineStr">
        <is>
          <t>EBITDA_Margin</t>
        </is>
      </c>
      <c r="B56" s="392">
        <f>IFERROR(IF(B6=0,"",B8/B6),"")</f>
        <v/>
      </c>
      <c r="C56" s="392">
        <f>IFERROR(IF(C6=0,"",C8/C6),"")</f>
        <v/>
      </c>
      <c r="D56" s="392">
        <f>IFERROR(IF(D6=0,"",D8/D6),"")</f>
        <v/>
      </c>
      <c r="E56" s="392">
        <f>IFERROR(IF(E6=0,"",E8/E6),"")</f>
        <v/>
      </c>
      <c r="F56" s="392">
        <f>IFERROR(IF(F6=0,"",F8/F6),"")</f>
        <v/>
      </c>
      <c r="G56" s="392">
        <f>IFERROR(IF(G6=0,"",G8/G6),"")</f>
        <v/>
      </c>
      <c r="H56" s="392">
        <f>IFERROR(IF(H6=0,"",H8/H6),"")</f>
        <v/>
      </c>
      <c r="I56" s="392">
        <f>IFERROR(IF(I6=0,"",I8/I6),"")</f>
        <v/>
      </c>
      <c r="J56" s="392">
        <f>IFERROR(IF(J6=0,"",J8/J6),"")</f>
        <v/>
      </c>
      <c r="K56" s="392">
        <f>IFERROR(IF(K6=0,"",K8/K6),"")</f>
        <v/>
      </c>
    </row>
    <row r="57">
      <c r="A57" s="26" t="inlineStr">
        <is>
          <t>Interest_Coverage</t>
        </is>
      </c>
      <c r="B57" s="387">
        <f>IFERROR(IF(B11=0,"",B10/B11),"")</f>
        <v/>
      </c>
      <c r="C57" s="387">
        <f>IFERROR(IF(C11=0,"",C10/C11),"")</f>
        <v/>
      </c>
      <c r="D57" s="387">
        <f>IFERROR(IF(D11=0,"",D10/D11),"")</f>
        <v/>
      </c>
      <c r="E57" s="387">
        <f>IFERROR(IF(E11=0,"",E10/E11),"")</f>
        <v/>
      </c>
      <c r="F57" s="387">
        <f>IFERROR(IF(F11=0,"",F10/F11),"")</f>
        <v/>
      </c>
      <c r="G57" s="387">
        <f>IFERROR(IF(G11=0,"",G10/G11),"")</f>
        <v/>
      </c>
      <c r="H57" s="387">
        <f>IFERROR(IF(H11=0,"",H10/H11),"")</f>
        <v/>
      </c>
      <c r="I57" s="387">
        <f>IFERROR(IF(I11=0,"",I10/I11),"")</f>
        <v/>
      </c>
      <c r="J57" s="387">
        <f>IFERROR(IF(J11=0,"",J10/J11),"")</f>
        <v/>
      </c>
      <c r="K57" s="387">
        <f>IFERROR(IF(K11=0,"",K10/K11),"")</f>
        <v/>
      </c>
    </row>
    <row r="58">
      <c r="A58" s="26" t="inlineStr">
        <is>
          <t>Covenant_Flag</t>
        </is>
      </c>
      <c r="B58" s="13">
        <f>IFERROR(FUNDING_DEBT!K57,"")</f>
        <v/>
      </c>
      <c r="C58" s="13">
        <f>IFERROR(FUNDING_DEBT!K58,"")</f>
        <v/>
      </c>
      <c r="D58" s="13">
        <f>IFERROR(FUNDING_DEBT!K59,"")</f>
        <v/>
      </c>
      <c r="E58" s="13">
        <f>IFERROR(FUNDING_DEBT!K60,"")</f>
        <v/>
      </c>
      <c r="F58" s="13">
        <f>IFERROR(FUNDING_DEBT!K61,"")</f>
        <v/>
      </c>
      <c r="G58" s="13">
        <f>IFERROR(FUNDING_DEBT!K62,"")</f>
        <v/>
      </c>
      <c r="H58" s="13">
        <f>IFERROR(FUNDING_DEBT!K63,"")</f>
        <v/>
      </c>
      <c r="I58" s="13">
        <f>IFERROR(FUNDING_DEBT!K64,"")</f>
        <v/>
      </c>
      <c r="J58" s="13">
        <f>IFERROR(FUNDING_DEBT!K65,"")</f>
        <v/>
      </c>
      <c r="K58" s="13">
        <f>IFERROR(FUNDING_DEBT!K66,"")</f>
        <v/>
      </c>
    </row>
    <row r="61">
      <c r="A61" s="234" t="inlineStr">
        <is>
          <t>SOURCE: CHECKS</t>
        </is>
      </c>
    </row>
    <row r="62">
      <c r="A62" s="10" t="inlineStr">
        <is>
          <t>Check</t>
        </is>
      </c>
      <c r="B62" s="10" t="inlineStr">
        <is>
          <t>Result</t>
        </is>
      </c>
      <c r="C62" s="10" t="inlineStr">
        <is>
          <t>Notes</t>
        </is>
      </c>
    </row>
    <row r="63">
      <c r="A63" s="26" t="inlineStr">
        <is>
          <t>External links removed</t>
        </is>
      </c>
      <c r="B63" s="13">
        <f>IFERROR("PASS","")</f>
        <v/>
      </c>
      <c r="C63" s="13" t="inlineStr">
        <is>
          <t>Workbook generated without external relationships</t>
        </is>
      </c>
    </row>
    <row r="64">
      <c r="A64" s="26" t="inlineStr">
        <is>
          <t>Prior legacy debt schedule excluded</t>
        </is>
      </c>
      <c r="B64" s="13">
        <f>IFERROR("PASS","")</f>
        <v/>
      </c>
      <c r="C64" s="13" t="inlineStr">
        <is>
          <t>Only DEBT_SCHEDULE is used</t>
        </is>
      </c>
    </row>
    <row r="65">
      <c r="A65" s="26" t="inlineStr">
        <is>
          <t>Balance sheet balances</t>
        </is>
      </c>
      <c r="B65" s="13">
        <f>IFERROR(IF(MAX(ABS(B48:K48))&lt;1,"PASS","FAIL"),"")</f>
        <v/>
      </c>
      <c r="C65" s="13" t="n"/>
    </row>
    <row r="66">
      <c r="A66" s="26" t="inlineStr">
        <is>
          <t>Debt closes by tenor</t>
        </is>
      </c>
      <c r="B66" s="13">
        <f>IFERROR(IF(ABS(FUNDING_DEBT!I66)&lt;1,"PASS","WARN"),"")</f>
        <v/>
      </c>
      <c r="C66" s="13" t="n"/>
    </row>
    <row r="67">
      <c r="A67" s="26" t="inlineStr">
        <is>
          <t>No negative ending cash</t>
        </is>
      </c>
      <c r="B67" s="13">
        <f>IFERROR(IF(MIN(B29:K29)&gt;=0,"PASS","WARN"),"")</f>
        <v/>
      </c>
      <c r="C67" s="13" t="n"/>
    </row>
    <row r="68">
      <c r="A68" s="26" t="inlineStr">
        <is>
          <t>Minimum DSCR met while debt outstanding</t>
        </is>
      </c>
      <c r="B68" s="13">
        <f>IFERROR(IF(COUNTIF(FUNDING_DEBT!K57:K66,"BREACH")=0,"PASS","WARN"),"")</f>
        <v/>
      </c>
      <c r="C68" s="13" t="n"/>
    </row>
    <row r="71">
      <c r="A71" s="234" t="inlineStr">
        <is>
          <t>SOURCE: BREAK-EVEN</t>
        </is>
      </c>
    </row>
    <row r="72">
      <c r="A72" s="10" t="inlineStr">
        <is>
          <t>Year</t>
        </is>
      </c>
      <c r="B72" s="10" t="n">
        <v>1</v>
      </c>
      <c r="C72" s="10" t="n">
        <v>2</v>
      </c>
      <c r="D72" s="10" t="n">
        <v>3</v>
      </c>
      <c r="E72" s="10" t="n">
        <v>4</v>
      </c>
      <c r="F72" s="10" t="n">
        <v>5</v>
      </c>
      <c r="G72" s="10" t="n">
        <v>6</v>
      </c>
      <c r="H72" s="10" t="n">
        <v>7</v>
      </c>
      <c r="I72" s="10" t="n">
        <v>8</v>
      </c>
      <c r="J72" s="10" t="n">
        <v>9</v>
      </c>
      <c r="K72" s="10" t="n">
        <v>10</v>
      </c>
    </row>
    <row r="73">
      <c r="A73" s="26" t="inlineStr">
        <is>
          <t>Milk Price</t>
        </is>
      </c>
      <c r="B73" s="28">
        <f>IFERROR(BALANCE_SHEET!B21,"")</f>
        <v/>
      </c>
      <c r="C73" s="28">
        <f>IFERROR(BALANCE_SHEET!C21,"")</f>
        <v/>
      </c>
      <c r="D73" s="28">
        <f>IFERROR(BALANCE_SHEET!D21,"")</f>
        <v/>
      </c>
      <c r="E73" s="28">
        <f>IFERROR(BALANCE_SHEET!E21,"")</f>
        <v/>
      </c>
      <c r="F73" s="28">
        <f>IFERROR(BALANCE_SHEET!F21,"")</f>
        <v/>
      </c>
      <c r="G73" s="28">
        <f>IFERROR(BALANCE_SHEET!G21,"")</f>
        <v/>
      </c>
      <c r="H73" s="28">
        <f>IFERROR(BALANCE_SHEET!H21,"")</f>
        <v/>
      </c>
      <c r="I73" s="28">
        <f>IFERROR(BALANCE_SHEET!I21,"")</f>
        <v/>
      </c>
      <c r="J73" s="28">
        <f>IFERROR(BALANCE_SHEET!J21,"")</f>
        <v/>
      </c>
      <c r="K73" s="28">
        <f>IFERROR(BALANCE_SHEET!K21,"")</f>
        <v/>
      </c>
    </row>
    <row r="74">
      <c r="A74" s="26" t="inlineStr">
        <is>
          <t>Milk Liters</t>
        </is>
      </c>
      <c r="B74" s="28">
        <f>IFERROR(BALANCE_SHEET!B20,"")</f>
        <v/>
      </c>
      <c r="C74" s="28">
        <f>IFERROR(BALANCE_SHEET!C20,"")</f>
        <v/>
      </c>
      <c r="D74" s="28">
        <f>IFERROR(BALANCE_SHEET!D20,"")</f>
        <v/>
      </c>
      <c r="E74" s="28">
        <f>IFERROR(BALANCE_SHEET!E20,"")</f>
        <v/>
      </c>
      <c r="F74" s="28">
        <f>IFERROR(BALANCE_SHEET!F20,"")</f>
        <v/>
      </c>
      <c r="G74" s="28">
        <f>IFERROR(BALANCE_SHEET!G20,"")</f>
        <v/>
      </c>
      <c r="H74" s="28">
        <f>IFERROR(BALANCE_SHEET!H20,"")</f>
        <v/>
      </c>
      <c r="I74" s="28">
        <f>IFERROR(BALANCE_SHEET!I20,"")</f>
        <v/>
      </c>
      <c r="J74" s="28">
        <f>IFERROR(BALANCE_SHEET!J20,"")</f>
        <v/>
      </c>
      <c r="K74" s="28">
        <f>IFERROR(BALANCE_SHEET!K20,"")</f>
        <v/>
      </c>
    </row>
    <row r="75">
      <c r="A75" s="26" t="inlineStr">
        <is>
          <t>Milk Revenue</t>
        </is>
      </c>
      <c r="B75" s="28">
        <f>IFERROR(B73*B74,"")</f>
        <v/>
      </c>
      <c r="C75" s="28">
        <f>IFERROR(C73*C74,"")</f>
        <v/>
      </c>
      <c r="D75" s="28">
        <f>IFERROR(D73*D74,"")</f>
        <v/>
      </c>
      <c r="E75" s="28">
        <f>IFERROR(E73*E74,"")</f>
        <v/>
      </c>
      <c r="F75" s="28">
        <f>IFERROR(F73*F74,"")</f>
        <v/>
      </c>
      <c r="G75" s="28">
        <f>IFERROR(G73*G74,"")</f>
        <v/>
      </c>
      <c r="H75" s="28">
        <f>IFERROR(H73*H74,"")</f>
        <v/>
      </c>
      <c r="I75" s="28">
        <f>IFERROR(I73*I74,"")</f>
        <v/>
      </c>
      <c r="J75" s="28">
        <f>IFERROR(J73*J74,"")</f>
        <v/>
      </c>
      <c r="K75" s="28">
        <f>IFERROR(K73*K74,"")</f>
        <v/>
      </c>
    </row>
    <row r="76">
      <c r="A76" s="26" t="inlineStr">
        <is>
          <t>Variable Costs</t>
        </is>
      </c>
      <c r="B76" s="28">
        <f>IFERROR(SUM(OPEX!B4:B5,OPEX!B7:B8),"")</f>
        <v/>
      </c>
      <c r="C76" s="28">
        <f>IFERROR(SUM(OPEX!C4:C5,OPEX!C7:C8),"")</f>
        <v/>
      </c>
      <c r="D76" s="28">
        <f>IFERROR(SUM(OPEX!D4:D5,OPEX!D7:D8),"")</f>
        <v/>
      </c>
      <c r="E76" s="28">
        <f>IFERROR(SUM(OPEX!E4:E5,OPEX!E7:E8),"")</f>
        <v/>
      </c>
      <c r="F76" s="28">
        <f>IFERROR(SUM(OPEX!F4:F5,OPEX!F7:F8),"")</f>
        <v/>
      </c>
      <c r="G76" s="28">
        <f>IFERROR(SUM(OPEX!G4:G5,OPEX!G7:G8),"")</f>
        <v/>
      </c>
      <c r="H76" s="28">
        <f>IFERROR(SUM(OPEX!H4:H5,OPEX!H7:H8),"")</f>
        <v/>
      </c>
      <c r="I76" s="28">
        <f>IFERROR(SUM(OPEX!I4:I5,OPEX!I7:I8),"")</f>
        <v/>
      </c>
      <c r="J76" s="28">
        <f>IFERROR(SUM(OPEX!J4:J5,OPEX!J7:J8),"")</f>
        <v/>
      </c>
      <c r="K76" s="28">
        <f>IFERROR(SUM(OPEX!K4:K5,OPEX!K7:K8),"")</f>
        <v/>
      </c>
    </row>
    <row r="77">
      <c r="A77" s="26" t="inlineStr">
        <is>
          <t>Variable Cost/L</t>
        </is>
      </c>
      <c r="B77" s="27">
        <f>IFERROR(IF(B74=0,0,B76/B74),"")</f>
        <v/>
      </c>
      <c r="C77" s="27">
        <f>IFERROR(IF(C74=0,0,C76/C74),"")</f>
        <v/>
      </c>
      <c r="D77" s="27">
        <f>IFERROR(IF(D74=0,0,D76/D74),"")</f>
        <v/>
      </c>
      <c r="E77" s="27">
        <f>IFERROR(IF(E74=0,0,E76/E74),"")</f>
        <v/>
      </c>
      <c r="F77" s="27">
        <f>IFERROR(IF(F74=0,0,F76/F74),"")</f>
        <v/>
      </c>
      <c r="G77" s="27">
        <f>IFERROR(IF(G74=0,0,G76/G74),"")</f>
        <v/>
      </c>
      <c r="H77" s="27">
        <f>IFERROR(IF(H74=0,0,H76/H74),"")</f>
        <v/>
      </c>
      <c r="I77" s="27">
        <f>IFERROR(IF(I74=0,0,I76/I74),"")</f>
        <v/>
      </c>
      <c r="J77" s="27">
        <f>IFERROR(IF(J74=0,0,J76/J74),"")</f>
        <v/>
      </c>
      <c r="K77" s="27">
        <f>IFERROR(IF(K74=0,0,K76/K74),"")</f>
        <v/>
      </c>
    </row>
    <row r="78">
      <c r="A78" s="26" t="inlineStr">
        <is>
          <t>Contribution/L</t>
        </is>
      </c>
      <c r="B78" s="28">
        <f>IFERROR(B73-B77,"")</f>
        <v/>
      </c>
      <c r="C78" s="28">
        <f>IFERROR(C73-C77,"")</f>
        <v/>
      </c>
      <c r="D78" s="28">
        <f>IFERROR(D73-D77,"")</f>
        <v/>
      </c>
      <c r="E78" s="28">
        <f>IFERROR(E73-E77,"")</f>
        <v/>
      </c>
      <c r="F78" s="28">
        <f>IFERROR(F73-F77,"")</f>
        <v/>
      </c>
      <c r="G78" s="28">
        <f>IFERROR(G73-G77,"")</f>
        <v/>
      </c>
      <c r="H78" s="28">
        <f>IFERROR(H73-H77,"")</f>
        <v/>
      </c>
      <c r="I78" s="28">
        <f>IFERROR(I73-I77,"")</f>
        <v/>
      </c>
      <c r="J78" s="28">
        <f>IFERROR(J73-J77,"")</f>
        <v/>
      </c>
      <c r="K78" s="28">
        <f>IFERROR(K73-K77,"")</f>
        <v/>
      </c>
    </row>
    <row r="79">
      <c r="A79" s="26" t="inlineStr">
        <is>
          <t>Fixed Costs</t>
        </is>
      </c>
      <c r="B79" s="28">
        <f>IFERROR(OPEX!B14-B76,"")</f>
        <v/>
      </c>
      <c r="C79" s="28">
        <f>IFERROR(OPEX!C14-C76,"")</f>
        <v/>
      </c>
      <c r="D79" s="28">
        <f>IFERROR(OPEX!D14-D76,"")</f>
        <v/>
      </c>
      <c r="E79" s="28">
        <f>IFERROR(OPEX!E14-E76,"")</f>
        <v/>
      </c>
      <c r="F79" s="28">
        <f>IFERROR(OPEX!F14-F76,"")</f>
        <v/>
      </c>
      <c r="G79" s="28">
        <f>IFERROR(OPEX!G14-G76,"")</f>
        <v/>
      </c>
      <c r="H79" s="28">
        <f>IFERROR(OPEX!H14-H76,"")</f>
        <v/>
      </c>
      <c r="I79" s="28">
        <f>IFERROR(OPEX!I14-I76,"")</f>
        <v/>
      </c>
      <c r="J79" s="28">
        <f>IFERROR(OPEX!J14-J76,"")</f>
        <v/>
      </c>
      <c r="K79" s="28">
        <f>IFERROR(OPEX!K14-K76,"")</f>
        <v/>
      </c>
    </row>
    <row r="80">
      <c r="A80" s="26" t="inlineStr">
        <is>
          <t>Break-Even Liters</t>
        </is>
      </c>
      <c r="B80" s="28">
        <f>IFERROR(IF(B78&lt;=0,"",B79/B78),"")</f>
        <v/>
      </c>
      <c r="C80" s="28">
        <f>IFERROR(IF(C78&lt;=0,"",C79/C78),"")</f>
        <v/>
      </c>
      <c r="D80" s="28">
        <f>IFERROR(IF(D78&lt;=0,"",D79/D78),"")</f>
        <v/>
      </c>
      <c r="E80" s="28">
        <f>IFERROR(IF(E78&lt;=0,"",E79/E78),"")</f>
        <v/>
      </c>
      <c r="F80" s="28">
        <f>IFERROR(IF(F78&lt;=0,"",F79/F78),"")</f>
        <v/>
      </c>
      <c r="G80" s="28">
        <f>IFERROR(IF(G78&lt;=0,"",G79/G78),"")</f>
        <v/>
      </c>
      <c r="H80" s="28">
        <f>IFERROR(IF(H78&lt;=0,"",H79/H78),"")</f>
        <v/>
      </c>
      <c r="I80" s="28">
        <f>IFERROR(IF(I78&lt;=0,"",I79/I78),"")</f>
        <v/>
      </c>
      <c r="J80" s="28">
        <f>IFERROR(IF(J78&lt;=0,"",J79/J78),"")</f>
        <v/>
      </c>
      <c r="K80" s="28">
        <f>IFERROR(IF(K78&lt;=0,"",K79/K78),"")</f>
        <v/>
      </c>
    </row>
    <row r="81">
      <c r="A81" s="26" t="inlineStr">
        <is>
          <t>Margin of Safety</t>
        </is>
      </c>
      <c r="B81" s="392">
        <f>IFERROR(IF(B74=0,"",1-B80/B74),"")</f>
        <v/>
      </c>
      <c r="C81" s="392">
        <f>IFERROR(IF(C74=0,"",1-C80/C74),"")</f>
        <v/>
      </c>
      <c r="D81" s="392">
        <f>IFERROR(IF(D74=0,"",1-D80/D74),"")</f>
        <v/>
      </c>
      <c r="E81" s="392">
        <f>IFERROR(IF(E74=0,"",1-E80/E74),"")</f>
        <v/>
      </c>
      <c r="F81" s="392">
        <f>IFERROR(IF(F74=0,"",1-F80/F74),"")</f>
        <v/>
      </c>
      <c r="G81" s="392">
        <f>IFERROR(IF(G74=0,"",1-G80/G74),"")</f>
        <v/>
      </c>
      <c r="H81" s="392">
        <f>IFERROR(IF(H74=0,"",1-H80/H74),"")</f>
        <v/>
      </c>
      <c r="I81" s="392">
        <f>IFERROR(IF(I74=0,"",1-I80/I74),"")</f>
        <v/>
      </c>
      <c r="J81" s="392">
        <f>IFERROR(IF(J74=0,"",1-J80/J74),"")</f>
        <v/>
      </c>
      <c r="K81" s="392">
        <f>IFERROR(IF(K74=0,"",1-K80/K74),"")</f>
        <v/>
      </c>
    </row>
    <row r="82" ht="19" customHeight="1" s="239">
      <c r="A82" s="52" t="inlineStr">
        <is>
          <t>Note:</t>
        </is>
      </c>
    </row>
    <row r="83" ht="19" customHeight="1" s="239">
      <c r="A83" s="5" t="inlineStr">
        <is>
          <t>Break‑even is achieved comfortably from Year 2</t>
        </is>
      </c>
      <c r="B83" s="53" t="n"/>
      <c r="C83" s="53" t="n"/>
      <c r="D83" s="53" t="n"/>
      <c r="E83" s="53" t="n"/>
      <c r="F83" s="53" t="n"/>
      <c r="G83" s="53" t="n"/>
      <c r="H83" s="53" t="n"/>
      <c r="I83" s="53" t="n"/>
    </row>
    <row r="84" ht="19" customHeight="1" s="239">
      <c r="A84" s="5" t="inlineStr">
        <is>
          <t>From Year 4 onward, break‑even milk is &lt;20% of capacity</t>
        </is>
      </c>
      <c r="B84" s="53" t="n"/>
      <c r="C84" s="53" t="n"/>
      <c r="D84" s="53" t="n"/>
      <c r="E84" s="53" t="n"/>
      <c r="F84" s="53" t="n"/>
      <c r="G84" s="53" t="n"/>
      <c r="H84" s="53" t="n"/>
      <c r="I84" s="53" t="n"/>
    </row>
    <row r="85" ht="19" customHeight="1" s="239">
      <c r="A85" s="5" t="inlineStr">
        <is>
          <t>Operational risk is very low by mid‑cycle</t>
        </is>
      </c>
      <c r="B85" s="53" t="n"/>
      <c r="C85" s="53" t="n"/>
      <c r="D85" s="53" t="n"/>
      <c r="E85" s="53" t="n"/>
      <c r="F85" s="53" t="n"/>
      <c r="G85" s="53" t="n"/>
      <c r="H85" s="53" t="n"/>
      <c r="I85" s="53" t="n"/>
    </row>
    <row r="90">
      <c r="A90" s="265" t="inlineStr">
        <is>
          <t>Revenue Detail and Operational Circular Economy Benefits - Version 2</t>
        </is>
      </c>
    </row>
    <row r="91">
      <c r="A91" s="265" t="inlineStr">
        <is>
          <t>Line Item</t>
        </is>
      </c>
      <c r="B91" s="265" t="inlineStr">
        <is>
          <t>Y1</t>
        </is>
      </c>
      <c r="C91" s="265" t="inlineStr">
        <is>
          <t>Y2</t>
        </is>
      </c>
      <c r="D91" s="265" t="inlineStr">
        <is>
          <t>Y3</t>
        </is>
      </c>
      <c r="E91" s="265" t="inlineStr">
        <is>
          <t>Y4</t>
        </is>
      </c>
      <c r="F91" s="265" t="inlineStr">
        <is>
          <t>Y5</t>
        </is>
      </c>
      <c r="G91" s="265" t="inlineStr">
        <is>
          <t>Y6</t>
        </is>
      </c>
      <c r="H91" s="265" t="inlineStr">
        <is>
          <t>Y7</t>
        </is>
      </c>
      <c r="I91" s="265" t="inlineStr">
        <is>
          <t>Y8</t>
        </is>
      </c>
      <c r="J91" s="265" t="inlineStr">
        <is>
          <t>Y9</t>
        </is>
      </c>
      <c r="K91" s="265" t="inlineStr">
        <is>
          <t>Y10</t>
        </is>
      </c>
    </row>
    <row r="92">
      <c r="A92" s="394" t="inlineStr">
        <is>
          <t>Milk Revenue</t>
        </is>
      </c>
      <c r="B92">
        <f>IFERROR(DAIRY!B8,"")</f>
        <v/>
      </c>
      <c r="C92">
        <f>IFERROR(DAIRY!C8,"")</f>
        <v/>
      </c>
      <c r="D92">
        <f>IFERROR(DAIRY!D8,"")</f>
        <v/>
      </c>
      <c r="E92">
        <f>IFERROR(DAIRY!E8,"")</f>
        <v/>
      </c>
      <c r="F92">
        <f>IFERROR(DAIRY!F8,"")</f>
        <v/>
      </c>
      <c r="G92">
        <f>IFERROR(DAIRY!G8,"")</f>
        <v/>
      </c>
      <c r="H92">
        <f>IFERROR(DAIRY!H8,"")</f>
        <v/>
      </c>
      <c r="I92">
        <f>IFERROR(DAIRY!I8,"")</f>
        <v/>
      </c>
      <c r="J92">
        <f>IFERROR(DAIRY!J8,"")</f>
        <v/>
      </c>
      <c r="K92">
        <f>IFERROR(DAIRY!K8,"")</f>
        <v/>
      </c>
    </row>
    <row r="93">
      <c r="A93" s="394" t="inlineStr">
        <is>
          <t>Beef Revenue</t>
        </is>
      </c>
      <c r="B93">
        <f>IFERROR(DAIRY!B9+FATTENING!B14,"")</f>
        <v/>
      </c>
      <c r="C93">
        <f>IFERROR(DAIRY!C9+FATTENING!C14,"")</f>
        <v/>
      </c>
      <c r="D93">
        <f>IFERROR(DAIRY!D9+FATTENING!D14,"")</f>
        <v/>
      </c>
      <c r="E93">
        <f>IFERROR(DAIRY!E9+FATTENING!E14,"")</f>
        <v/>
      </c>
      <c r="F93">
        <f>IFERROR(DAIRY!F9+FATTENING!F14,"")</f>
        <v/>
      </c>
      <c r="G93">
        <f>IFERROR(DAIRY!G9+FATTENING!G14,"")</f>
        <v/>
      </c>
      <c r="H93">
        <f>IFERROR(DAIRY!H9+FATTENING!H14,"")</f>
        <v/>
      </c>
      <c r="I93">
        <f>IFERROR(DAIRY!I9+FATTENING!I14,"")</f>
        <v/>
      </c>
      <c r="J93">
        <f>IFERROR(DAIRY!J9+FATTENING!J14,"")</f>
        <v/>
      </c>
      <c r="K93">
        <f>IFERROR(DAIRY!K9+FATTENING!K14,"")</f>
        <v/>
      </c>
    </row>
    <row r="94">
      <c r="A94" s="394" t="inlineStr">
        <is>
          <t>Feed Revenue</t>
        </is>
      </c>
      <c r="B94">
        <f>IFERROR(FEED_FARM!B19,"")</f>
        <v/>
      </c>
      <c r="C94">
        <f>IFERROR(FEED_FARM!C19,"")</f>
        <v/>
      </c>
      <c r="D94">
        <f>IFERROR(FEED_FARM!D19,"")</f>
        <v/>
      </c>
      <c r="E94">
        <f>IFERROR(FEED_FARM!E19,"")</f>
        <v/>
      </c>
      <c r="F94">
        <f>IFERROR(FEED_FARM!F19,"")</f>
        <v/>
      </c>
      <c r="G94">
        <f>IFERROR(FEED_FARM!G19,"")</f>
        <v/>
      </c>
      <c r="H94">
        <f>IFERROR(FEED_FARM!H19,"")</f>
        <v/>
      </c>
      <c r="I94">
        <f>IFERROR(FEED_FARM!I19,"")</f>
        <v/>
      </c>
      <c r="J94">
        <f>IFERROR(FEED_FARM!J19,"")</f>
        <v/>
      </c>
      <c r="K94">
        <f>IFERROR(FEED_FARM!K19,"")</f>
        <v/>
      </c>
    </row>
    <row r="95">
      <c r="A95" s="394" t="inlineStr">
        <is>
          <t>Manure Sales</t>
        </is>
      </c>
      <c r="B95">
        <f>IFERROR(DAIRY!B27+FATTENING!B47,"")</f>
        <v/>
      </c>
      <c r="C95">
        <f>IFERROR(DAIRY!C27+FATTENING!C47,"")</f>
        <v/>
      </c>
      <c r="D95">
        <f>IFERROR(DAIRY!D27+FATTENING!D47,"")</f>
        <v/>
      </c>
      <c r="E95">
        <f>IFERROR(DAIRY!E27+FATTENING!E47,"")</f>
        <v/>
      </c>
      <c r="F95">
        <f>IFERROR(DAIRY!F27+FATTENING!F47,"")</f>
        <v/>
      </c>
      <c r="G95">
        <f>IFERROR(DAIRY!G27+FATTENING!G47,"")</f>
        <v/>
      </c>
      <c r="H95">
        <f>IFERROR(DAIRY!H27+FATTENING!H47,"")</f>
        <v/>
      </c>
      <c r="I95">
        <f>IFERROR(DAIRY!I27+FATTENING!I47,"")</f>
        <v/>
      </c>
      <c r="J95">
        <f>IFERROR(DAIRY!J27+FATTENING!J47,"")</f>
        <v/>
      </c>
      <c r="K95">
        <f>IFERROR(DAIRY!K27+FATTENING!K47,"")</f>
        <v/>
      </c>
    </row>
    <row r="96">
      <c r="A96" s="394" t="inlineStr">
        <is>
          <t>Logistics Revenue</t>
        </is>
      </c>
      <c r="B96">
        <f>IFERROR(LOGISTICS!B9,"")</f>
        <v/>
      </c>
      <c r="C96">
        <f>IFERROR(LOGISTICS!C9,"")</f>
        <v/>
      </c>
      <c r="D96">
        <f>IFERROR(LOGISTICS!D9,"")</f>
        <v/>
      </c>
      <c r="E96">
        <f>IFERROR(LOGISTICS!E9,"")</f>
        <v/>
      </c>
      <c r="F96">
        <f>IFERROR(LOGISTICS!F9,"")</f>
        <v/>
      </c>
      <c r="G96">
        <f>IFERROR(LOGISTICS!G9,"")</f>
        <v/>
      </c>
      <c r="H96">
        <f>IFERROR(LOGISTICS!H9,"")</f>
        <v/>
      </c>
      <c r="I96">
        <f>IFERROR(LOGISTICS!I9,"")</f>
        <v/>
      </c>
      <c r="J96">
        <f>IFERROR(LOGISTICS!J9,"")</f>
        <v/>
      </c>
      <c r="K96">
        <f>IFERROR(LOGISTICS!K9,"")</f>
        <v/>
      </c>
    </row>
    <row r="97">
      <c r="A97" s="393" t="inlineStr">
        <is>
          <t>Total External Revenue</t>
        </is>
      </c>
      <c r="B97">
        <f>IFERROR(SUM(B92:B96),"")</f>
        <v/>
      </c>
      <c r="C97">
        <f>IFERROR(SUM(C92:C96),"")</f>
        <v/>
      </c>
      <c r="D97">
        <f>IFERROR(SUM(D92:D96),"")</f>
        <v/>
      </c>
      <c r="E97">
        <f>IFERROR(SUM(E92:E96),"")</f>
        <v/>
      </c>
      <c r="F97">
        <f>IFERROR(SUM(F92:F96),"")</f>
        <v/>
      </c>
      <c r="G97">
        <f>IFERROR(SUM(G92:G96),"")</f>
        <v/>
      </c>
      <c r="H97">
        <f>IFERROR(SUM(H92:H96),"")</f>
        <v/>
      </c>
      <c r="I97">
        <f>IFERROR(SUM(I92:I96),"")</f>
        <v/>
      </c>
      <c r="J97">
        <f>IFERROR(SUM(J92:J96),"")</f>
        <v/>
      </c>
      <c r="K97">
        <f>IFERROR(SUM(K92:K96),"")</f>
        <v/>
      </c>
    </row>
    <row r="98">
      <c r="A98" s="393" t="inlineStr">
        <is>
          <t>Fertilizer Savings</t>
        </is>
      </c>
      <c r="B98">
        <f>IFERROR(OPEX!B38,"")</f>
        <v/>
      </c>
      <c r="C98">
        <f>IFERROR(OPEX!C38,"")</f>
        <v/>
      </c>
      <c r="D98">
        <f>IFERROR(OPEX!D38,"")</f>
        <v/>
      </c>
      <c r="E98">
        <f>IFERROR(OPEX!E38,"")</f>
        <v/>
      </c>
      <c r="F98">
        <f>IFERROR(OPEX!F38,"")</f>
        <v/>
      </c>
      <c r="G98">
        <f>IFERROR(OPEX!G38,"")</f>
        <v/>
      </c>
      <c r="H98">
        <f>IFERROR(OPEX!H38,"")</f>
        <v/>
      </c>
      <c r="I98">
        <f>IFERROR(OPEX!I38,"")</f>
        <v/>
      </c>
      <c r="J98">
        <f>IFERROR(OPEX!J38,"")</f>
        <v/>
      </c>
      <c r="K98">
        <f>IFERROR(OPEX!K38,"")</f>
        <v/>
      </c>
    </row>
    <row r="99">
      <c r="A99" s="393" t="inlineStr">
        <is>
          <t>Biogas Utility Savings</t>
        </is>
      </c>
      <c r="B99">
        <f>IFERROR(OPEX!B35,"")</f>
        <v/>
      </c>
      <c r="C99">
        <f>IFERROR(OPEX!C35,"")</f>
        <v/>
      </c>
      <c r="D99">
        <f>IFERROR(OPEX!D35,"")</f>
        <v/>
      </c>
      <c r="E99">
        <f>IFERROR(OPEX!E35,"")</f>
        <v/>
      </c>
      <c r="F99">
        <f>IFERROR(OPEX!F35,"")</f>
        <v/>
      </c>
      <c r="G99">
        <f>IFERROR(OPEX!G35,"")</f>
        <v/>
      </c>
      <c r="H99">
        <f>IFERROR(OPEX!H35,"")</f>
        <v/>
      </c>
      <c r="I99">
        <f>IFERROR(OPEX!I35,"")</f>
        <v/>
      </c>
      <c r="J99">
        <f>IFERROR(OPEX!J35,"")</f>
        <v/>
      </c>
      <c r="K99">
        <f>IFERROR(OPEX!K35,"")</f>
        <v/>
      </c>
    </row>
    <row r="100">
      <c r="A100" s="393" t="inlineStr">
        <is>
          <t>Diesel Savings</t>
        </is>
      </c>
      <c r="B100">
        <f>IFERROR(OPEX!B36+OPEX!B37,"")</f>
        <v/>
      </c>
      <c r="C100">
        <f>IFERROR(OPEX!C36+OPEX!C37,"")</f>
        <v/>
      </c>
      <c r="D100">
        <f>IFERROR(OPEX!D36+OPEX!D37,"")</f>
        <v/>
      </c>
      <c r="E100">
        <f>IFERROR(OPEX!E36+OPEX!E37,"")</f>
        <v/>
      </c>
      <c r="F100">
        <f>IFERROR(OPEX!F36+OPEX!F37,"")</f>
        <v/>
      </c>
      <c r="G100">
        <f>IFERROR(OPEX!G36+OPEX!G37,"")</f>
        <v/>
      </c>
      <c r="H100">
        <f>IFERROR(OPEX!H36+OPEX!H37,"")</f>
        <v/>
      </c>
      <c r="I100">
        <f>IFERROR(OPEX!I36+OPEX!I37,"")</f>
        <v/>
      </c>
      <c r="J100">
        <f>IFERROR(OPEX!J36+OPEX!J37,"")</f>
        <v/>
      </c>
      <c r="K100">
        <f>IFERROR(OPEX!K36+OPEX!K37,"")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17D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W36"/>
  <sheetViews>
    <sheetView showGridLines="0" topLeftCell="A1"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8" customWidth="1" style="239" min="1" max="1"/>
    <col width="16" customWidth="1" style="239" min="2" max="11"/>
  </cols>
  <sheetData>
    <row r="1" ht="21" customHeight="1" s="239">
      <c r="A1" s="235" t="inlineStr">
        <is>
          <t>Balance Sheet and Operating Bridge</t>
        </is>
      </c>
      <c r="M1" s="264" t="inlineStr">
        <is>
          <t>Balance Sheet Summary</t>
        </is>
      </c>
    </row>
    <row r="2">
      <c r="A2" s="236" t="inlineStr">
        <is>
          <t>Top/right section presents balance-sheet controls; operating-model rows remain for formula continuity and audit traceability.</t>
        </is>
      </c>
      <c r="M2" t="inlineStr">
        <is>
          <t>Year</t>
        </is>
      </c>
      <c r="N2" t="n">
        <v>1</v>
      </c>
      <c r="O2" t="n">
        <v>2</v>
      </c>
      <c r="P2" t="n">
        <v>3</v>
      </c>
      <c r="Q2" t="n">
        <v>4</v>
      </c>
      <c r="R2" t="n">
        <v>5</v>
      </c>
      <c r="S2" t="n">
        <v>6</v>
      </c>
      <c r="T2" t="n">
        <v>7</v>
      </c>
      <c r="U2" t="n">
        <v>8</v>
      </c>
      <c r="V2" t="n">
        <v>9</v>
      </c>
      <c r="W2" t="n">
        <v>10</v>
      </c>
    </row>
    <row r="3">
      <c r="M3" t="inlineStr">
        <is>
          <t>Cash</t>
        </is>
      </c>
      <c r="N3">
        <f>IFERROR(PNL!B35,"")</f>
        <v/>
      </c>
      <c r="O3">
        <f>IFERROR(PNL!C35,"")</f>
        <v/>
      </c>
      <c r="P3">
        <f>IFERROR(PNL!D35,"")</f>
        <v/>
      </c>
      <c r="Q3">
        <f>IFERROR(PNL!E35,"")</f>
        <v/>
      </c>
      <c r="R3">
        <f>IFERROR(PNL!F35,"")</f>
        <v/>
      </c>
      <c r="S3">
        <f>IFERROR(PNL!G35,"")</f>
        <v/>
      </c>
      <c r="T3">
        <f>IFERROR(PNL!H35,"")</f>
        <v/>
      </c>
      <c r="U3">
        <f>IFERROR(PNL!I35,"")</f>
        <v/>
      </c>
      <c r="V3">
        <f>IFERROR(PNL!J35,"")</f>
        <v/>
      </c>
      <c r="W3">
        <f>IFERROR(PNL!K35,"")</f>
        <v/>
      </c>
    </row>
    <row r="4">
      <c r="A4" s="234" t="inlineStr">
        <is>
          <t>SOURCE: PRODUCTION</t>
        </is>
      </c>
      <c r="M4" t="inlineStr">
        <is>
          <t>Receivables</t>
        </is>
      </c>
      <c r="N4">
        <f>IFERROR(WORKING_CAPITAL!B4,"")</f>
        <v/>
      </c>
      <c r="O4">
        <f>IFERROR(WORKING_CAPITAL!C4,"")</f>
        <v/>
      </c>
      <c r="P4">
        <f>IFERROR(WORKING_CAPITAL!D4,"")</f>
        <v/>
      </c>
      <c r="Q4">
        <f>IFERROR(WORKING_CAPITAL!E4,"")</f>
        <v/>
      </c>
      <c r="R4">
        <f>IFERROR(WORKING_CAPITAL!F4,"")</f>
        <v/>
      </c>
      <c r="S4">
        <f>IFERROR(WORKING_CAPITAL!G4,"")</f>
        <v/>
      </c>
      <c r="T4">
        <f>IFERROR(WORKING_CAPITAL!H4,"")</f>
        <v/>
      </c>
      <c r="U4">
        <f>IFERROR(WORKING_CAPITAL!I4,"")</f>
        <v/>
      </c>
      <c r="V4">
        <f>IFERROR(WORKING_CAPITAL!J4,"")</f>
        <v/>
      </c>
      <c r="W4">
        <f>IFERROR(WORKING_CAPITAL!K4,"")</f>
        <v/>
      </c>
    </row>
    <row r="5" ht="16" customHeight="1" s="239">
      <c r="A5" s="144" t="inlineStr">
        <is>
          <t>Year</t>
        </is>
      </c>
      <c r="B5" s="144" t="inlineStr">
        <is>
          <t>Yield L/day/cow</t>
        </is>
      </c>
      <c r="C5" s="144" t="inlineStr">
        <is>
          <t>Wet Days Effective</t>
        </is>
      </c>
      <c r="D5" s="144" t="inlineStr">
        <is>
          <t>Milking Cows</t>
        </is>
      </c>
      <c r="E5" s="144" t="inlineStr">
        <is>
          <t>Milk Liters</t>
        </is>
      </c>
      <c r="F5" s="144" t="inlineStr">
        <is>
          <t>Beef Kg</t>
        </is>
      </c>
      <c r="G5" s="144" t="inlineStr">
        <is>
          <t>Manure bags</t>
        </is>
      </c>
      <c r="H5" s="144" t="inlineStr">
        <is>
          <t>Cultivated  Acres</t>
        </is>
      </c>
      <c r="I5" s="144" t="inlineStr">
        <is>
          <t>Crop Acres</t>
        </is>
      </c>
      <c r="M5" t="inlineStr">
        <is>
          <t>Inventory</t>
        </is>
      </c>
      <c r="N5">
        <f>IFERROR(WORKING_CAPITAL!B5,"")</f>
        <v/>
      </c>
      <c r="O5">
        <f>IFERROR(WORKING_CAPITAL!C5,"")</f>
        <v/>
      </c>
      <c r="P5">
        <f>IFERROR(WORKING_CAPITAL!D5,"")</f>
        <v/>
      </c>
      <c r="Q5">
        <f>IFERROR(WORKING_CAPITAL!E5,"")</f>
        <v/>
      </c>
      <c r="R5">
        <f>IFERROR(WORKING_CAPITAL!F5,"")</f>
        <v/>
      </c>
      <c r="S5">
        <f>IFERROR(WORKING_CAPITAL!G5,"")</f>
        <v/>
      </c>
      <c r="T5">
        <f>IFERROR(WORKING_CAPITAL!H5,"")</f>
        <v/>
      </c>
      <c r="U5">
        <f>IFERROR(WORKING_CAPITAL!I5,"")</f>
        <v/>
      </c>
      <c r="V5">
        <f>IFERROR(WORKING_CAPITAL!J5,"")</f>
        <v/>
      </c>
      <c r="W5">
        <f>IFERROR(WORKING_CAPITAL!K5,"")</f>
        <v/>
      </c>
    </row>
    <row r="6" ht="16" customHeight="1" s="239">
      <c r="A6" s="230" t="n">
        <v>1</v>
      </c>
      <c r="B6" s="217">
        <f>IFERROR(ASSUMPTIONS!B46,"")</f>
        <v/>
      </c>
      <c r="C6" s="217">
        <f>IFERROR(IF(A6=1,ASSUMPTIONS!$B$27*ASSUMPTIONS!$B$34,IF(A6=2,ASSUMPTIONS!$B$27*ASSUMPTIONS!$B$35,ASSUMPTIONS!$B$27)),"")</f>
        <v/>
      </c>
      <c r="D6" s="217">
        <f>IFERROR(ASSUMPTIONS!B52,"")</f>
        <v/>
      </c>
      <c r="E6" s="217">
        <f>IFERROR(B6*C6*D6,"")</f>
        <v/>
      </c>
      <c r="F6" s="217">
        <f>IFERROR(ASSUMPTIONS!B53,"")</f>
        <v/>
      </c>
      <c r="G6" s="217">
        <f>IFERROR(ASSUMPTIONS!B54,"")</f>
        <v/>
      </c>
      <c r="H6" s="217">
        <f>IFERROR(FEED_FARM!B4,"")</f>
        <v/>
      </c>
      <c r="I6" s="217">
        <f>IFERROR(FEED_FARM!B4,"")</f>
        <v/>
      </c>
      <c r="M6" t="inlineStr">
        <is>
          <t>Net PPE</t>
        </is>
      </c>
      <c r="N6">
        <f>IFERROR(CAPEX!D$15,"")</f>
        <v/>
      </c>
      <c r="O6">
        <f>IFERROR(CAPEX!E$15,"")</f>
        <v/>
      </c>
      <c r="P6">
        <f>IFERROR(CAPEX!F$15,"")</f>
        <v/>
      </c>
      <c r="Q6">
        <f>IFERROR(CAPEX!G$15,"")</f>
        <v/>
      </c>
      <c r="R6">
        <f>IFERROR(CAPEX!H$15,"")</f>
        <v/>
      </c>
      <c r="S6">
        <f>IFERROR(CAPEX!I$15,"")</f>
        <v/>
      </c>
      <c r="T6">
        <f>IFERROR(CAPEX!J$15,"")</f>
        <v/>
      </c>
      <c r="U6">
        <f>IFERROR(CAPEX!K$15,"")</f>
        <v/>
      </c>
      <c r="V6">
        <f>IFERROR(CAPEX!L$15,"")</f>
        <v/>
      </c>
      <c r="W6">
        <f>IFERROR(CAPEX!M$15,"")</f>
        <v/>
      </c>
    </row>
    <row r="7" ht="16" customHeight="1" s="239">
      <c r="A7" s="230" t="n">
        <v>2</v>
      </c>
      <c r="B7" s="217">
        <f>IFERROR(ASSUMPTIONS!C46,"")</f>
        <v/>
      </c>
      <c r="C7" s="217">
        <f>IFERROR(IF(A7=1,ASSUMPTIONS!$B$27*ASSUMPTIONS!$B$34,IF(A7=2,ASSUMPTIONS!$B$27*ASSUMPTIONS!$B$35,ASSUMPTIONS!$B$27)),"")</f>
        <v/>
      </c>
      <c r="D7" s="217">
        <f>IFERROR(ASSUMPTIONS!C52,"")</f>
        <v/>
      </c>
      <c r="E7" s="217">
        <f>IFERROR(B7*C7*D7,"")</f>
        <v/>
      </c>
      <c r="F7" s="217">
        <f>IFERROR(ASSUMPTIONS!C53,"")</f>
        <v/>
      </c>
      <c r="G7" s="217">
        <f>IFERROR(ASSUMPTIONS!C54,"")</f>
        <v/>
      </c>
      <c r="H7" s="217">
        <f>IFERROR(FEED_FARM!C4,"")</f>
        <v/>
      </c>
      <c r="I7" s="217">
        <f>IFERROR(FEED_FARM!C4,"")</f>
        <v/>
      </c>
      <c r="M7" t="inlineStr">
        <is>
          <t>Total Assets</t>
        </is>
      </c>
      <c r="N7">
        <f>IFERROR(SUM(N3:N6),"")</f>
        <v/>
      </c>
      <c r="O7">
        <f>IFERROR(SUM(O3:O6),"")</f>
        <v/>
      </c>
      <c r="P7">
        <f>IFERROR(SUM(P3:P6),"")</f>
        <v/>
      </c>
      <c r="Q7">
        <f>IFERROR(SUM(Q3:Q6),"")</f>
        <v/>
      </c>
      <c r="R7">
        <f>IFERROR(SUM(R3:R6),"")</f>
        <v/>
      </c>
      <c r="S7">
        <f>IFERROR(SUM(S3:S6),"")</f>
        <v/>
      </c>
      <c r="T7">
        <f>IFERROR(SUM(T3:T6),"")</f>
        <v/>
      </c>
      <c r="U7">
        <f>IFERROR(SUM(U3:U6),"")</f>
        <v/>
      </c>
      <c r="V7">
        <f>IFERROR(SUM(V3:V6),"")</f>
        <v/>
      </c>
      <c r="W7">
        <f>IFERROR(SUM(W3:W6),"")</f>
        <v/>
      </c>
    </row>
    <row r="8" ht="16" customHeight="1" s="239">
      <c r="A8" s="230" t="n">
        <v>3</v>
      </c>
      <c r="B8" s="217">
        <f>IFERROR(ASSUMPTIONS!D46,"")</f>
        <v/>
      </c>
      <c r="C8" s="217">
        <f>IFERROR(IF(A8=1,ASSUMPTIONS!$B$27*ASSUMPTIONS!$B$34,IF(A8=2,ASSUMPTIONS!$B$27*ASSUMPTIONS!$B$35,ASSUMPTIONS!$B$27)),"")</f>
        <v/>
      </c>
      <c r="D8" s="217">
        <f>IFERROR(ASSUMPTIONS!D52,"")</f>
        <v/>
      </c>
      <c r="E8" s="217">
        <f>IFERROR(B8*C8*D8,"")</f>
        <v/>
      </c>
      <c r="F8" s="217">
        <f>IFERROR(ASSUMPTIONS!D53,"")</f>
        <v/>
      </c>
      <c r="G8" s="217">
        <f>IFERROR(ASSUMPTIONS!D54,"")</f>
        <v/>
      </c>
      <c r="H8" s="217">
        <f>IFERROR(FEED_FARM!D4,"")</f>
        <v/>
      </c>
      <c r="I8" s="217">
        <f>IFERROR(FEED_FARM!D4,"")</f>
        <v/>
      </c>
      <c r="M8" t="inlineStr">
        <is>
          <t>Payables</t>
        </is>
      </c>
      <c r="N8">
        <f>IFERROR(WORKING_CAPITAL!B6,"")</f>
        <v/>
      </c>
      <c r="O8">
        <f>IFERROR(WORKING_CAPITAL!C6,"")</f>
        <v/>
      </c>
      <c r="P8">
        <f>IFERROR(WORKING_CAPITAL!D6,"")</f>
        <v/>
      </c>
      <c r="Q8">
        <f>IFERROR(WORKING_CAPITAL!E6,"")</f>
        <v/>
      </c>
      <c r="R8">
        <f>IFERROR(WORKING_CAPITAL!F6,"")</f>
        <v/>
      </c>
      <c r="S8">
        <f>IFERROR(WORKING_CAPITAL!G6,"")</f>
        <v/>
      </c>
      <c r="T8">
        <f>IFERROR(WORKING_CAPITAL!H6,"")</f>
        <v/>
      </c>
      <c r="U8">
        <f>IFERROR(WORKING_CAPITAL!I6,"")</f>
        <v/>
      </c>
      <c r="V8">
        <f>IFERROR(WORKING_CAPITAL!J6,"")</f>
        <v/>
      </c>
      <c r="W8">
        <f>IFERROR(WORKING_CAPITAL!K6,"")</f>
        <v/>
      </c>
    </row>
    <row r="9" ht="16" customHeight="1" s="239">
      <c r="A9" s="230" t="n">
        <v>4</v>
      </c>
      <c r="B9" s="217">
        <f>IFERROR(ASSUMPTIONS!E46,"")</f>
        <v/>
      </c>
      <c r="C9" s="217">
        <f>IFERROR(IF(A9=1,ASSUMPTIONS!$B$27*ASSUMPTIONS!$B$34,IF(A9=2,ASSUMPTIONS!$B$27*ASSUMPTIONS!$B$35,ASSUMPTIONS!$B$27)),"")</f>
        <v/>
      </c>
      <c r="D9" s="217">
        <f>IFERROR(ASSUMPTIONS!E52,"")</f>
        <v/>
      </c>
      <c r="E9" s="217">
        <f>IFERROR(B9*C9*D9,"")</f>
        <v/>
      </c>
      <c r="F9" s="217">
        <f>IFERROR(ASSUMPTIONS!E53,"")</f>
        <v/>
      </c>
      <c r="G9" s="217">
        <f>IFERROR(ASSUMPTIONS!E54,"")</f>
        <v/>
      </c>
      <c r="H9" s="217">
        <f>IFERROR(FEED_FARM!E4,"")</f>
        <v/>
      </c>
      <c r="I9" s="217">
        <f>IFERROR(FEED_FARM!E4,"")</f>
        <v/>
      </c>
      <c r="M9" t="inlineStr">
        <is>
          <t>Debt</t>
        </is>
      </c>
      <c r="N9">
        <f>IFERROR(FUNDING_DEBT!I557,"")</f>
        <v/>
      </c>
      <c r="O9">
        <f>IFERROR(FUNDING_DEBT!I558,"")</f>
        <v/>
      </c>
      <c r="P9">
        <f>IFERROR(FUNDING_DEBT!I559,"")</f>
        <v/>
      </c>
      <c r="Q9">
        <f>IFERROR(FUNDING_DEBT!I560,"")</f>
        <v/>
      </c>
      <c r="R9">
        <f>IFERROR(FUNDING_DEBT!I561,"")</f>
        <v/>
      </c>
      <c r="S9">
        <f>IFERROR(FUNDING_DEBT!I562,"")</f>
        <v/>
      </c>
      <c r="T9">
        <f>IFERROR(FUNDING_DEBT!I563,"")</f>
        <v/>
      </c>
      <c r="U9">
        <f>IFERROR(FUNDING_DEBT!I564,"")</f>
        <v/>
      </c>
      <c r="V9">
        <f>IFERROR(FUNDING_DEBT!I565,"")</f>
        <v/>
      </c>
      <c r="W9">
        <f>IFERROR(FUNDING_DEBT!I566,"")</f>
        <v/>
      </c>
    </row>
    <row r="10" ht="16" customHeight="1" s="239">
      <c r="A10" s="230" t="n">
        <v>5</v>
      </c>
      <c r="B10" s="217">
        <f>IFERROR(ASSUMPTIONS!F46,"")</f>
        <v/>
      </c>
      <c r="C10" s="217">
        <f>IFERROR(IF(A10=1,ASSUMPTIONS!$B$27*ASSUMPTIONS!$B$34,IF(A10=2,ASSUMPTIONS!$B$27*ASSUMPTIONS!$B$35,ASSUMPTIONS!$B$27)),"")</f>
        <v/>
      </c>
      <c r="D10" s="217">
        <f>IFERROR(ASSUMPTIONS!F52,"")</f>
        <v/>
      </c>
      <c r="E10" s="217">
        <f>IFERROR(B10*C10*D10,"")</f>
        <v/>
      </c>
      <c r="F10" s="217">
        <f>IFERROR(ASSUMPTIONS!F53,"")</f>
        <v/>
      </c>
      <c r="G10" s="217">
        <f>IFERROR(ASSUMPTIONS!F54,"")</f>
        <v/>
      </c>
      <c r="H10" s="217">
        <f>IFERROR(FEED_FARM!F4,"")</f>
        <v/>
      </c>
      <c r="I10" s="217">
        <f>IFERROR(FEED_FARM!F4,"")</f>
        <v/>
      </c>
      <c r="M10" t="inlineStr">
        <is>
          <t>Equity</t>
        </is>
      </c>
      <c r="N10">
        <f>IFERROR(ASSUMPTIONS!$B$10+PNL!B46,"")</f>
        <v/>
      </c>
      <c r="O10">
        <f>IFERROR(ASSUMPTIONS!$B$10+PNL!C46,"")</f>
        <v/>
      </c>
      <c r="P10">
        <f>IFERROR(ASSUMPTIONS!$B$10+PNL!D46,"")</f>
        <v/>
      </c>
      <c r="Q10">
        <f>IFERROR(ASSUMPTIONS!$B$10+PNL!E46,"")</f>
        <v/>
      </c>
      <c r="R10">
        <f>IFERROR(ASSUMPTIONS!$B$10+PNL!F46,"")</f>
        <v/>
      </c>
      <c r="S10">
        <f>IFERROR(ASSUMPTIONS!$B$10+PNL!G46,"")</f>
        <v/>
      </c>
      <c r="T10">
        <f>IFERROR(ASSUMPTIONS!$B$10+PNL!H46,"")</f>
        <v/>
      </c>
      <c r="U10">
        <f>IFERROR(ASSUMPTIONS!$B$10+PNL!I46,"")</f>
        <v/>
      </c>
      <c r="V10">
        <f>IFERROR(ASSUMPTIONS!$B$10+PNL!J46,"")</f>
        <v/>
      </c>
      <c r="W10">
        <f>IFERROR(ASSUMPTIONS!$B$10+PNL!K46,"")</f>
        <v/>
      </c>
    </row>
    <row r="11" ht="16" customHeight="1" s="239">
      <c r="A11" s="230" t="n">
        <v>6</v>
      </c>
      <c r="B11" s="217">
        <f>IFERROR(ASSUMPTIONS!G46,"")</f>
        <v/>
      </c>
      <c r="C11" s="217">
        <f>IFERROR(IF(A11=1,ASSUMPTIONS!$B$27*ASSUMPTIONS!$B$34,IF(A11=2,ASSUMPTIONS!$B$27*ASSUMPTIONS!$B$35,ASSUMPTIONS!$B$27)),"")</f>
        <v/>
      </c>
      <c r="D11" s="217">
        <f>IFERROR(ASSUMPTIONS!G52,"")</f>
        <v/>
      </c>
      <c r="E11" s="217">
        <f>IFERROR(B11*C11*D11,"")</f>
        <v/>
      </c>
      <c r="F11" s="217">
        <f>IFERROR(ASSUMPTIONS!G53,"")</f>
        <v/>
      </c>
      <c r="G11" s="217">
        <f>IFERROR(ASSUMPTIONS!G54,"")</f>
        <v/>
      </c>
      <c r="H11" s="217">
        <f>IFERROR(FEED_FARM!G4,"")</f>
        <v/>
      </c>
      <c r="I11" s="217">
        <f>IFERROR(FEED_FARM!G4,"")</f>
        <v/>
      </c>
      <c r="M11" t="inlineStr">
        <is>
          <t>Balance Check</t>
        </is>
      </c>
      <c r="N11">
        <f>IFERROR(N7-SUM(N8:N10),"")</f>
        <v/>
      </c>
      <c r="O11">
        <f>IFERROR(O7-SUM(O8:O10),"")</f>
        <v/>
      </c>
      <c r="P11">
        <f>IFERROR(P7-SUM(P8:P10),"")</f>
        <v/>
      </c>
      <c r="Q11">
        <f>IFERROR(Q7-SUM(Q8:Q10),"")</f>
        <v/>
      </c>
      <c r="R11">
        <f>IFERROR(R7-SUM(R8:R10),"")</f>
        <v/>
      </c>
      <c r="S11">
        <f>IFERROR(S7-SUM(S8:S10),"")</f>
        <v/>
      </c>
      <c r="T11">
        <f>IFERROR(T7-SUM(T8:T10),"")</f>
        <v/>
      </c>
      <c r="U11">
        <f>IFERROR(U7-SUM(U8:U10),"")</f>
        <v/>
      </c>
      <c r="V11">
        <f>IFERROR(V7-SUM(V8:V10),"")</f>
        <v/>
      </c>
      <c r="W11">
        <f>IFERROR(W7-SUM(W8:W10),"")</f>
        <v/>
      </c>
    </row>
    <row r="12" ht="16" customHeight="1" s="239">
      <c r="A12" s="230" t="n">
        <v>7</v>
      </c>
      <c r="B12" s="217">
        <f>IFERROR(ASSUMPTIONS!H46,"")</f>
        <v/>
      </c>
      <c r="C12" s="217">
        <f>IFERROR(IF(A12=1,ASSUMPTIONS!$B$27*ASSUMPTIONS!$B$34,IF(A12=2,ASSUMPTIONS!$B$27*ASSUMPTIONS!$B$35,ASSUMPTIONS!$B$27)),"")</f>
        <v/>
      </c>
      <c r="D12" s="217">
        <f>IFERROR(ASSUMPTIONS!H52,"")</f>
        <v/>
      </c>
      <c r="E12" s="217">
        <f>IFERROR(B12*C12*D12,"")</f>
        <v/>
      </c>
      <c r="F12" s="217">
        <f>IFERROR(ASSUMPTIONS!H53,"")</f>
        <v/>
      </c>
      <c r="G12" s="217">
        <f>IFERROR(ASSUMPTIONS!H54,"")</f>
        <v/>
      </c>
      <c r="H12" s="217">
        <f>IFERROR(FEED_FARM!H4,"")</f>
        <v/>
      </c>
      <c r="I12" s="217">
        <f>IFERROR(FEED_FARM!H4,"")</f>
        <v/>
      </c>
      <c r="M12" t="inlineStr">
        <is>
          <t>DSRA Asset</t>
        </is>
      </c>
      <c r="N12">
        <f>IFERROR(FUNDING_DEBT!B80,"")</f>
        <v/>
      </c>
      <c r="O12">
        <f>IFERROR(FUNDING_DEBT!C80,"")</f>
        <v/>
      </c>
      <c r="P12">
        <f>IFERROR(FUNDING_DEBT!D80,"")</f>
        <v/>
      </c>
      <c r="Q12">
        <f>IFERROR(FUNDING_DEBT!E80,"")</f>
        <v/>
      </c>
      <c r="R12">
        <f>IFERROR(FUNDING_DEBT!F80,"")</f>
        <v/>
      </c>
      <c r="S12">
        <f>IFERROR(FUNDING_DEBT!G80,"")</f>
        <v/>
      </c>
      <c r="T12">
        <f>IFERROR(FUNDING_DEBT!H80,"")</f>
        <v/>
      </c>
      <c r="U12">
        <f>IFERROR(FUNDING_DEBT!I80,"")</f>
        <v/>
      </c>
      <c r="V12">
        <f>IFERROR(FUNDING_DEBT!J80,"")</f>
        <v/>
      </c>
      <c r="W12">
        <f>IFERROR(FUNDING_DEBT!K80,"")</f>
        <v/>
      </c>
    </row>
    <row r="13" ht="16" customHeight="1" s="239">
      <c r="A13" s="230" t="n">
        <v>8</v>
      </c>
      <c r="B13" s="217">
        <f>IFERROR(ASSUMPTIONS!I46,"")</f>
        <v/>
      </c>
      <c r="C13" s="217">
        <f>IFERROR(IF(A13=1,ASSUMPTIONS!$B$27*ASSUMPTIONS!$B$34,IF(A13=2,ASSUMPTIONS!$B$27*ASSUMPTIONS!$B$35,ASSUMPTIONS!$B$27)),"")</f>
        <v/>
      </c>
      <c r="D13" s="217">
        <f>IFERROR(ASSUMPTIONS!I52,"")</f>
        <v/>
      </c>
      <c r="E13" s="217">
        <f>IFERROR(B13*C13*D13,"")</f>
        <v/>
      </c>
      <c r="F13" s="217">
        <f>IFERROR(ASSUMPTIONS!I53,"")</f>
        <v/>
      </c>
      <c r="G13" s="217">
        <f>IFERROR(ASSUMPTIONS!I54,"")</f>
        <v/>
      </c>
      <c r="H13" s="217">
        <f>IFERROR(FEED_FARM!I4,"")</f>
        <v/>
      </c>
      <c r="I13" s="217">
        <f>IFERROR(FEED_FARM!I4,"")</f>
        <v/>
      </c>
      <c r="M13" t="inlineStr">
        <is>
          <t>Balance Check incl DSRA</t>
        </is>
      </c>
      <c r="N13">
        <f>IFERROR(N7+N12-SUM(N8:N10),"")</f>
        <v/>
      </c>
      <c r="O13">
        <f>IFERROR(O7+O12-SUM(O8:O10),"")</f>
        <v/>
      </c>
      <c r="P13">
        <f>IFERROR(P7+P12-SUM(P8:P10),"")</f>
        <v/>
      </c>
      <c r="Q13">
        <f>IFERROR(Q7+Q12-SUM(Q8:Q10),"")</f>
        <v/>
      </c>
      <c r="R13">
        <f>IFERROR(R7+R12-SUM(R8:R10),"")</f>
        <v/>
      </c>
      <c r="S13">
        <f>IFERROR(S7+S12-SUM(S8:S10),"")</f>
        <v/>
      </c>
      <c r="T13">
        <f>IFERROR(T7+T12-SUM(T8:T10),"")</f>
        <v/>
      </c>
      <c r="U13">
        <f>IFERROR(U7+U12-SUM(U8:U10),"")</f>
        <v/>
      </c>
      <c r="V13">
        <f>IFERROR(V7+V12-SUM(V8:V10),"")</f>
        <v/>
      </c>
      <c r="W13">
        <f>IFERROR(W7+W12-SUM(W8:W10),"")</f>
        <v/>
      </c>
    </row>
    <row r="14" ht="16" customHeight="1" s="239">
      <c r="A14" s="230" t="n">
        <v>9</v>
      </c>
      <c r="B14" s="217">
        <f>IFERROR(ASSUMPTIONS!J46,"")</f>
        <v/>
      </c>
      <c r="C14" s="217">
        <f>IFERROR(IF(A14=1,ASSUMPTIONS!$B$27*ASSUMPTIONS!$B$34,IF(A14=2,ASSUMPTIONS!$B$27*ASSUMPTIONS!$B$35,ASSUMPTIONS!$B$27)),"")</f>
        <v/>
      </c>
      <c r="D14" s="217">
        <f>IFERROR(ASSUMPTIONS!J52,"")</f>
        <v/>
      </c>
      <c r="E14" s="217">
        <f>IFERROR(B14*C14*D14,"")</f>
        <v/>
      </c>
      <c r="F14" s="217">
        <f>IFERROR(ASSUMPTIONS!J53,"")</f>
        <v/>
      </c>
      <c r="G14" s="217">
        <f>IFERROR(ASSUMPTIONS!J54,"")</f>
        <v/>
      </c>
      <c r="H14" s="217">
        <f>IFERROR(FEED_FARM!J4,"")</f>
        <v/>
      </c>
      <c r="I14" s="217">
        <f>IFERROR(FEED_FARM!J4,"")</f>
        <v/>
      </c>
    </row>
    <row r="15" ht="16" customHeight="1" s="239">
      <c r="A15" s="230" t="n">
        <v>10</v>
      </c>
      <c r="B15" s="217">
        <f>IFERROR(ASSUMPTIONS!K46,"")</f>
        <v/>
      </c>
      <c r="C15" s="217">
        <f>IFERROR(IF(A15=1,ASSUMPTIONS!$B$27*ASSUMPTIONS!$B$34,IF(A15=2,ASSUMPTIONS!$B$27*ASSUMPTIONS!$B$35,ASSUMPTIONS!$B$27)),"")</f>
        <v/>
      </c>
      <c r="D15" s="217">
        <f>IFERROR(ASSUMPTIONS!K52,"")</f>
        <v/>
      </c>
      <c r="E15" s="217">
        <f>IFERROR(B15*C15*D15,"")</f>
        <v/>
      </c>
      <c r="F15" s="217">
        <f>IFERROR(ASSUMPTIONS!K53,"")</f>
        <v/>
      </c>
      <c r="G15" s="217">
        <f>IFERROR(ASSUMPTIONS!K54,"")</f>
        <v/>
      </c>
      <c r="H15" s="217">
        <f>IFERROR(FEED_FARM!K4,"")</f>
        <v/>
      </c>
      <c r="I15" s="217">
        <f>IFERROR(FEED_FARM!K4,"")</f>
        <v/>
      </c>
    </row>
    <row r="18">
      <c r="A18" s="234" t="inlineStr">
        <is>
          <t>SOURCE: INPUTS_OPERATING</t>
        </is>
      </c>
    </row>
    <row r="19">
      <c r="A19" s="10" t="inlineStr">
        <is>
          <t>Year</t>
        </is>
      </c>
      <c r="B19" s="10" t="n">
        <v>1</v>
      </c>
      <c r="C19" s="10" t="n">
        <v>2</v>
      </c>
      <c r="D19" s="10" t="n">
        <v>3</v>
      </c>
      <c r="E19" s="10" t="n">
        <v>4</v>
      </c>
      <c r="F19" s="10" t="n">
        <v>5</v>
      </c>
      <c r="G19" s="10" t="n">
        <v>6</v>
      </c>
      <c r="H19" s="10" t="n">
        <v>7</v>
      </c>
      <c r="I19" s="10" t="n">
        <v>8</v>
      </c>
      <c r="J19" s="10" t="n">
        <v>9</v>
      </c>
      <c r="K19" s="10" t="n">
        <v>10</v>
      </c>
    </row>
    <row r="20">
      <c r="A20" s="26" t="inlineStr">
        <is>
          <t>Milk_Liters</t>
        </is>
      </c>
      <c r="B20" s="28">
        <f>IFERROR(BALANCE_SHEET!E6,"")</f>
        <v/>
      </c>
      <c r="C20" s="28">
        <f>IFERROR(BALANCE_SHEET!E7,"")</f>
        <v/>
      </c>
      <c r="D20" s="28">
        <f>IFERROR(BALANCE_SHEET!E8,"")</f>
        <v/>
      </c>
      <c r="E20" s="28">
        <f>IFERROR(BALANCE_SHEET!E9,"")</f>
        <v/>
      </c>
      <c r="F20" s="28">
        <f>IFERROR(BALANCE_SHEET!E10,"")</f>
        <v/>
      </c>
      <c r="G20" s="28">
        <f>IFERROR(BALANCE_SHEET!E11,"")</f>
        <v/>
      </c>
      <c r="H20" s="28">
        <f>IFERROR(BALANCE_SHEET!E12,"")</f>
        <v/>
      </c>
      <c r="I20" s="28">
        <f>IFERROR(BALANCE_SHEET!E13,"")</f>
        <v/>
      </c>
      <c r="J20" s="28">
        <f>IFERROR(BALANCE_SHEET!E14,"")</f>
        <v/>
      </c>
      <c r="K20" s="28">
        <f>IFERROR(BALANCE_SHEET!E15,"")</f>
        <v/>
      </c>
    </row>
    <row r="21">
      <c r="A21" s="26" t="inlineStr">
        <is>
          <t>Milk_Price_NGN_per_L</t>
        </is>
      </c>
      <c r="B21" s="28">
        <f>IFERROR(ASSUMPTIONS!B47,"")</f>
        <v/>
      </c>
      <c r="C21" s="28">
        <f>IFERROR(ASSUMPTIONS!C47,"")</f>
        <v/>
      </c>
      <c r="D21" s="28">
        <f>IFERROR(ASSUMPTIONS!D47,"")</f>
        <v/>
      </c>
      <c r="E21" s="28">
        <f>IFERROR(ASSUMPTIONS!E47,"")</f>
        <v/>
      </c>
      <c r="F21" s="28">
        <f>IFERROR(ASSUMPTIONS!F47,"")</f>
        <v/>
      </c>
      <c r="G21" s="28">
        <f>IFERROR(ASSUMPTIONS!G47,"")</f>
        <v/>
      </c>
      <c r="H21" s="28">
        <f>IFERROR(ASSUMPTIONS!H47,"")</f>
        <v/>
      </c>
      <c r="I21" s="28">
        <f>IFERROR(ASSUMPTIONS!I47,"")</f>
        <v/>
      </c>
      <c r="J21" s="28">
        <f>IFERROR(ASSUMPTIONS!J47,"")</f>
        <v/>
      </c>
      <c r="K21" s="28">
        <f>IFERROR(ASSUMPTIONS!K47,"")</f>
        <v/>
      </c>
    </row>
    <row r="22">
      <c r="A22" s="26" t="inlineStr">
        <is>
          <t>Beef_Kg</t>
        </is>
      </c>
      <c r="B22" s="28">
        <f>IFERROR(BALANCE_SHEET!F6,"")</f>
        <v/>
      </c>
      <c r="C22" s="28">
        <f>IFERROR(BALANCE_SHEET!F7,"")</f>
        <v/>
      </c>
      <c r="D22" s="28">
        <f>IFERROR(BALANCE_SHEET!F8,"")</f>
        <v/>
      </c>
      <c r="E22" s="28">
        <f>IFERROR(BALANCE_SHEET!F9,"")</f>
        <v/>
      </c>
      <c r="F22" s="28">
        <f>IFERROR(BALANCE_SHEET!F10,"")</f>
        <v/>
      </c>
      <c r="G22" s="28">
        <f>IFERROR(BALANCE_SHEET!F11,"")</f>
        <v/>
      </c>
      <c r="H22" s="28">
        <f>IFERROR(BALANCE_SHEET!F12,"")</f>
        <v/>
      </c>
      <c r="I22" s="28">
        <f>IFERROR(BALANCE_SHEET!F13,"")</f>
        <v/>
      </c>
      <c r="J22" s="28">
        <f>IFERROR(BALANCE_SHEET!F14,"")</f>
        <v/>
      </c>
      <c r="K22" s="28">
        <f>IFERROR(BALANCE_SHEET!F15,"")</f>
        <v/>
      </c>
    </row>
    <row r="23">
      <c r="A23" s="26" t="inlineStr">
        <is>
          <t>Beef_Price_NGN_per_Kg</t>
        </is>
      </c>
      <c r="B23" s="28">
        <f>IFERROR(ASSUMPTIONS!B48,"")</f>
        <v/>
      </c>
      <c r="C23" s="28">
        <f>IFERROR(ASSUMPTIONS!C48,"")</f>
        <v/>
      </c>
      <c r="D23" s="28">
        <f>IFERROR(ASSUMPTIONS!D48,"")</f>
        <v/>
      </c>
      <c r="E23" s="28">
        <f>IFERROR(ASSUMPTIONS!E48,"")</f>
        <v/>
      </c>
      <c r="F23" s="28">
        <f>IFERROR(ASSUMPTIONS!F48,"")</f>
        <v/>
      </c>
      <c r="G23" s="28">
        <f>IFERROR(ASSUMPTIONS!G48,"")</f>
        <v/>
      </c>
      <c r="H23" s="28">
        <f>IFERROR(ASSUMPTIONS!H48,"")</f>
        <v/>
      </c>
      <c r="I23" s="28">
        <f>IFERROR(ASSUMPTIONS!I48,"")</f>
        <v/>
      </c>
      <c r="J23" s="28">
        <f>IFERROR(ASSUMPTIONS!J48,"")</f>
        <v/>
      </c>
      <c r="K23" s="28">
        <f>IFERROR(ASSUMPTIONS!K48,"")</f>
        <v/>
      </c>
    </row>
    <row r="24">
      <c r="A24" s="26" t="inlineStr">
        <is>
          <t>Manure_Bags</t>
        </is>
      </c>
      <c r="B24" s="28">
        <f>IFERROR(BALANCE_SHEET!G6,"")</f>
        <v/>
      </c>
      <c r="C24" s="28">
        <f>IFERROR(BALANCE_SHEET!G7,"")</f>
        <v/>
      </c>
      <c r="D24" s="28">
        <f>IFERROR(BALANCE_SHEET!G8,"")</f>
        <v/>
      </c>
      <c r="E24" s="28">
        <f>IFERROR(BALANCE_SHEET!G9,"")</f>
        <v/>
      </c>
      <c r="F24" s="28">
        <f>IFERROR(BALANCE_SHEET!G10,"")</f>
        <v/>
      </c>
      <c r="G24" s="28">
        <f>IFERROR(BALANCE_SHEET!G11,"")</f>
        <v/>
      </c>
      <c r="H24" s="28">
        <f>IFERROR(BALANCE_SHEET!G12,"")</f>
        <v/>
      </c>
      <c r="I24" s="28">
        <f>IFERROR(BALANCE_SHEET!G13,"")</f>
        <v/>
      </c>
      <c r="J24" s="28">
        <f>IFERROR(BALANCE_SHEET!G14,"")</f>
        <v/>
      </c>
      <c r="K24" s="28">
        <f>IFERROR(BALANCE_SHEET!G15,"")</f>
        <v/>
      </c>
    </row>
    <row r="25">
      <c r="A25" s="26" t="inlineStr">
        <is>
          <t>Manure_Price_NGN_per_Bag</t>
        </is>
      </c>
      <c r="B25" s="28">
        <f>IFERROR(ASSUMPTIONS!B49,"")</f>
        <v/>
      </c>
      <c r="C25" s="28">
        <f>IFERROR(ASSUMPTIONS!C49,"")</f>
        <v/>
      </c>
      <c r="D25" s="28">
        <f>IFERROR(ASSUMPTIONS!D49,"")</f>
        <v/>
      </c>
      <c r="E25" s="28">
        <f>IFERROR(ASSUMPTIONS!E49,"")</f>
        <v/>
      </c>
      <c r="F25" s="28">
        <f>IFERROR(ASSUMPTIONS!F49,"")</f>
        <v/>
      </c>
      <c r="G25" s="28">
        <f>IFERROR(ASSUMPTIONS!G49,"")</f>
        <v/>
      </c>
      <c r="H25" s="28">
        <f>IFERROR(ASSUMPTIONS!H49,"")</f>
        <v/>
      </c>
      <c r="I25" s="28">
        <f>IFERROR(ASSUMPTIONS!I49,"")</f>
        <v/>
      </c>
      <c r="J25" s="28">
        <f>IFERROR(ASSUMPTIONS!J49,"")</f>
        <v/>
      </c>
      <c r="K25" s="28">
        <f>IFERROR(ASSUMPTIONS!K49,"")</f>
        <v/>
      </c>
    </row>
    <row r="26">
      <c r="A26" s="26" t="inlineStr">
        <is>
          <t>Crop_Acres</t>
        </is>
      </c>
      <c r="B26" s="27">
        <f>IFERROR(BALANCE_SHEET!I6,"")</f>
        <v/>
      </c>
      <c r="C26" s="27">
        <f>IFERROR(BALANCE_SHEET!I7,"")</f>
        <v/>
      </c>
      <c r="D26" s="27">
        <f>IFERROR(BALANCE_SHEET!I8,"")</f>
        <v/>
      </c>
      <c r="E26" s="27">
        <f>IFERROR(BALANCE_SHEET!I9,"")</f>
        <v/>
      </c>
      <c r="F26" s="27">
        <f>IFERROR(BALANCE_SHEET!I10,"")</f>
        <v/>
      </c>
      <c r="G26" s="27">
        <f>IFERROR(BALANCE_SHEET!I11,"")</f>
        <v/>
      </c>
      <c r="H26" s="27">
        <f>IFERROR(BALANCE_SHEET!I12,"")</f>
        <v/>
      </c>
      <c r="I26" s="27">
        <f>IFERROR(BALANCE_SHEET!I13,"")</f>
        <v/>
      </c>
      <c r="J26" s="27">
        <f>IFERROR(BALANCE_SHEET!I14,"")</f>
        <v/>
      </c>
      <c r="K26" s="27">
        <f>IFERROR(BALANCE_SHEET!I15,"")</f>
        <v/>
      </c>
    </row>
    <row r="27">
      <c r="A27" s="26" t="inlineStr">
        <is>
          <t>Crop_Yield_Price_per_Acre</t>
        </is>
      </c>
      <c r="B27" s="28">
        <f>IFERROR(ASSUMPTIONS!B51,"")</f>
        <v/>
      </c>
      <c r="C27" s="28">
        <f>IFERROR(ASSUMPTIONS!C51,"")</f>
        <v/>
      </c>
      <c r="D27" s="28">
        <f>IFERROR(ASSUMPTIONS!D51,"")</f>
        <v/>
      </c>
      <c r="E27" s="28">
        <f>IFERROR(ASSUMPTIONS!E51,"")</f>
        <v/>
      </c>
      <c r="F27" s="28">
        <f>IFERROR(ASSUMPTIONS!F51,"")</f>
        <v/>
      </c>
      <c r="G27" s="28">
        <f>IFERROR(ASSUMPTIONS!G51,"")</f>
        <v/>
      </c>
      <c r="H27" s="28">
        <f>IFERROR(ASSUMPTIONS!H51,"")</f>
        <v/>
      </c>
      <c r="I27" s="28">
        <f>IFERROR(ASSUMPTIONS!I51,"")</f>
        <v/>
      </c>
      <c r="J27" s="28">
        <f>IFERROR(ASSUMPTIONS!J51,"")</f>
        <v/>
      </c>
      <c r="K27" s="28">
        <f>IFERROR(ASSUMPTIONS!K51,"")</f>
        <v/>
      </c>
    </row>
    <row r="30">
      <c r="A30" s="234" t="inlineStr">
        <is>
          <t>SOURCE: REVENUE</t>
        </is>
      </c>
    </row>
    <row r="31">
      <c r="A31" s="10" t="inlineStr">
        <is>
          <t>Year</t>
        </is>
      </c>
      <c r="B31" s="10" t="n">
        <v>1</v>
      </c>
      <c r="C31" s="10" t="n">
        <v>2</v>
      </c>
      <c r="D31" s="10" t="n">
        <v>3</v>
      </c>
      <c r="E31" s="10" t="n">
        <v>4</v>
      </c>
      <c r="F31" s="10" t="n">
        <v>5</v>
      </c>
      <c r="G31" s="10" t="n">
        <v>6</v>
      </c>
      <c r="H31" s="10" t="n">
        <v>7</v>
      </c>
      <c r="I31" s="10" t="n">
        <v>8</v>
      </c>
      <c r="J31" s="10" t="n">
        <v>9</v>
      </c>
      <c r="K31" s="10" t="n">
        <v>10</v>
      </c>
    </row>
    <row r="32">
      <c r="A32" s="26" t="inlineStr">
        <is>
          <t>Milk_Revenue</t>
        </is>
      </c>
      <c r="B32" s="28">
        <f>IFERROR(B20*B21,"")</f>
        <v/>
      </c>
      <c r="C32" s="28">
        <f>IFERROR(C20*C21,"")</f>
        <v/>
      </c>
      <c r="D32" s="28">
        <f>IFERROR(D20*D21,"")</f>
        <v/>
      </c>
      <c r="E32" s="28">
        <f>IFERROR(E20*E21,"")</f>
        <v/>
      </c>
      <c r="F32" s="28">
        <f>IFERROR(F20*F21,"")</f>
        <v/>
      </c>
      <c r="G32" s="28">
        <f>IFERROR(G20*G21,"")</f>
        <v/>
      </c>
      <c r="H32" s="28">
        <f>IFERROR(H20*H21,"")</f>
        <v/>
      </c>
      <c r="I32" s="28">
        <f>IFERROR(I20*I21,"")</f>
        <v/>
      </c>
      <c r="J32" s="28">
        <f>IFERROR(J20*J21,"")</f>
        <v/>
      </c>
      <c r="K32" s="28">
        <f>IFERROR(K20*K21,"")</f>
        <v/>
      </c>
    </row>
    <row r="33">
      <c r="A33" s="26" t="inlineStr">
        <is>
          <t>Beef_Revenue</t>
        </is>
      </c>
      <c r="B33" s="28">
        <f>IFERROR(B22*B23,"")</f>
        <v/>
      </c>
      <c r="C33" s="28">
        <f>IFERROR(C22*C23,"")</f>
        <v/>
      </c>
      <c r="D33" s="28">
        <f>IFERROR(D22*D23,"")</f>
        <v/>
      </c>
      <c r="E33" s="28">
        <f>IFERROR(E22*E23,"")</f>
        <v/>
      </c>
      <c r="F33" s="28">
        <f>IFERROR(F22*F23,"")</f>
        <v/>
      </c>
      <c r="G33" s="28">
        <f>IFERROR(G22*G23,"")</f>
        <v/>
      </c>
      <c r="H33" s="28">
        <f>IFERROR(H22*H23,"")</f>
        <v/>
      </c>
      <c r="I33" s="28">
        <f>IFERROR(I22*I23,"")</f>
        <v/>
      </c>
      <c r="J33" s="28">
        <f>IFERROR(J22*J23,"")</f>
        <v/>
      </c>
      <c r="K33" s="28">
        <f>IFERROR(K22*K23,"")</f>
        <v/>
      </c>
    </row>
    <row r="34">
      <c r="A34" s="26" t="inlineStr">
        <is>
          <t>Manure_Revenue</t>
        </is>
      </c>
      <c r="B34" s="28">
        <f>IFERROR(B24*B25,"")</f>
        <v/>
      </c>
      <c r="C34" s="28">
        <f>IFERROR(C24*C25,"")</f>
        <v/>
      </c>
      <c r="D34" s="28">
        <f>IFERROR(D24*D25,"")</f>
        <v/>
      </c>
      <c r="E34" s="28">
        <f>IFERROR(E24*E25,"")</f>
        <v/>
      </c>
      <c r="F34" s="28">
        <f>IFERROR(F24*F25,"")</f>
        <v/>
      </c>
      <c r="G34" s="28">
        <f>IFERROR(G24*G25,"")</f>
        <v/>
      </c>
      <c r="H34" s="28">
        <f>IFERROR(H24*H25,"")</f>
        <v/>
      </c>
      <c r="I34" s="28">
        <f>IFERROR(I24*I25,"")</f>
        <v/>
      </c>
      <c r="J34" s="28">
        <f>IFERROR(J24*J25,"")</f>
        <v/>
      </c>
      <c r="K34" s="28">
        <f>IFERROR(K24*K25,"")</f>
        <v/>
      </c>
    </row>
    <row r="35">
      <c r="A35" s="26" t="inlineStr">
        <is>
          <t>Crop_Yield_Revenue</t>
        </is>
      </c>
      <c r="B35" s="28">
        <f>IFERROR(B26*B27,"")</f>
        <v/>
      </c>
      <c r="C35" s="28">
        <f>IFERROR(C26*C27,"")</f>
        <v/>
      </c>
      <c r="D35" s="28">
        <f>IFERROR(D26*D27,"")</f>
        <v/>
      </c>
      <c r="E35" s="28">
        <f>IFERROR(E26*E27,"")</f>
        <v/>
      </c>
      <c r="F35" s="28">
        <f>IFERROR(F26*F27,"")</f>
        <v/>
      </c>
      <c r="G35" s="28">
        <f>IFERROR(G26*G27,"")</f>
        <v/>
      </c>
      <c r="H35" s="28">
        <f>IFERROR(H26*H27,"")</f>
        <v/>
      </c>
      <c r="I35" s="28">
        <f>IFERROR(I26*I27,"")</f>
        <v/>
      </c>
      <c r="J35" s="28">
        <f>IFERROR(J26*J27,"")</f>
        <v/>
      </c>
      <c r="K35" s="28">
        <f>IFERROR(K26*K27,"")</f>
        <v/>
      </c>
    </row>
    <row r="36">
      <c r="A36" s="26" t="inlineStr">
        <is>
          <t>Total_Revenue</t>
        </is>
      </c>
      <c r="B36" s="28">
        <f>IFERROR(SUM(B32:B35),"")</f>
        <v/>
      </c>
      <c r="C36" s="28">
        <f>IFERROR(SUM(C32:C35),"")</f>
        <v/>
      </c>
      <c r="D36" s="28">
        <f>IFERROR(SUM(D32:D35),"")</f>
        <v/>
      </c>
      <c r="E36" s="28">
        <f>IFERROR(SUM(E32:E35),"")</f>
        <v/>
      </c>
      <c r="F36" s="28">
        <f>IFERROR(SUM(F32:F35),"")</f>
        <v/>
      </c>
      <c r="G36" s="28">
        <f>IFERROR(SUM(G32:G35),"")</f>
        <v/>
      </c>
      <c r="H36" s="28">
        <f>IFERROR(SUM(H32:H35),"")</f>
        <v/>
      </c>
      <c r="I36" s="28">
        <f>IFERROR(SUM(I32:I35),"")</f>
        <v/>
      </c>
      <c r="J36" s="28">
        <f>IFERROR(SUM(J32:J35),"")</f>
        <v/>
      </c>
      <c r="K36" s="28">
        <f>IFERROR(SUM(K32:K35),"")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17D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K159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B10" sqref="B10"/>
    </sheetView>
  </sheetViews>
  <sheetFormatPr baseColWidth="10" defaultColWidth="8.83203125" defaultRowHeight="15"/>
  <cols>
    <col width="30" customWidth="1" style="239" min="1" max="1"/>
    <col width="12" customWidth="1" style="239" min="2" max="37"/>
  </cols>
  <sheetData>
    <row r="1">
      <c r="A1" s="252" t="inlineStr">
        <is>
          <t>Cash Flow And CFADS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0" t="n"/>
      <c r="L1" s="250" t="n"/>
      <c r="M1" s="250" t="n"/>
      <c r="N1" s="250" t="n"/>
      <c r="O1" s="250" t="n"/>
      <c r="P1" s="250" t="n"/>
      <c r="Q1" s="250" t="n"/>
      <c r="R1" s="250" t="n"/>
      <c r="S1" s="250" t="n"/>
      <c r="T1" s="250" t="n"/>
      <c r="U1" s="250" t="n"/>
      <c r="V1" s="250" t="n"/>
      <c r="W1" s="250" t="n"/>
      <c r="X1" s="250" t="n"/>
      <c r="Y1" s="250" t="n"/>
      <c r="Z1" s="250" t="n"/>
      <c r="AA1" s="250" t="n"/>
      <c r="AB1" s="250" t="n"/>
      <c r="AC1" s="250" t="n"/>
      <c r="AD1" s="250" t="n"/>
      <c r="AE1" s="250" t="n"/>
      <c r="AF1" s="250" t="n"/>
      <c r="AG1" s="250" t="n"/>
      <c r="AH1" s="250" t="n"/>
      <c r="AI1" s="250" t="n"/>
      <c r="AJ1" s="250" t="n"/>
      <c r="AK1" s="251" t="n"/>
    </row>
    <row r="2">
      <c r="A2" s="249" t="inlineStr">
        <is>
          <t>Monthly M1-36 cash-flow bridge plus annual cash flow and business-unit CFADS.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0" t="n"/>
      <c r="L2" s="250" t="n"/>
      <c r="M2" s="250" t="n"/>
      <c r="N2" s="250" t="n"/>
      <c r="O2" s="250" t="n"/>
      <c r="P2" s="250" t="n"/>
      <c r="Q2" s="250" t="n"/>
      <c r="R2" s="250" t="n"/>
      <c r="S2" s="250" t="n"/>
      <c r="T2" s="250" t="n"/>
      <c r="U2" s="250" t="n"/>
      <c r="V2" s="250" t="n"/>
      <c r="W2" s="250" t="n"/>
      <c r="X2" s="250" t="n"/>
      <c r="Y2" s="250" t="n"/>
      <c r="Z2" s="250" t="n"/>
      <c r="AA2" s="250" t="n"/>
      <c r="AB2" s="250" t="n"/>
      <c r="AC2" s="250" t="n"/>
      <c r="AD2" s="250" t="n"/>
      <c r="AE2" s="250" t="n"/>
      <c r="AF2" s="250" t="n"/>
      <c r="AG2" s="250" t="n"/>
      <c r="AH2" s="250" t="n"/>
      <c r="AI2" s="250" t="n"/>
      <c r="AJ2" s="250" t="n"/>
      <c r="AK2" s="251" t="n"/>
    </row>
    <row r="3" ht="16" customHeight="1" s="239">
      <c r="A3" s="139" t="inlineStr">
        <is>
          <t>Line Item</t>
        </is>
      </c>
      <c r="B3" s="139" t="inlineStr">
        <is>
          <t>M1</t>
        </is>
      </c>
      <c r="C3" s="139" t="inlineStr">
        <is>
          <t>M2</t>
        </is>
      </c>
      <c r="D3" s="139" t="inlineStr">
        <is>
          <t>M3</t>
        </is>
      </c>
      <c r="E3" s="139" t="inlineStr">
        <is>
          <t>M4</t>
        </is>
      </c>
      <c r="F3" s="139" t="inlineStr">
        <is>
          <t>M5</t>
        </is>
      </c>
      <c r="G3" s="139" t="inlineStr">
        <is>
          <t>M6</t>
        </is>
      </c>
      <c r="H3" s="139" t="inlineStr">
        <is>
          <t>M7</t>
        </is>
      </c>
      <c r="I3" s="139" t="inlineStr">
        <is>
          <t>M8</t>
        </is>
      </c>
      <c r="J3" s="139" t="inlineStr">
        <is>
          <t>M9</t>
        </is>
      </c>
      <c r="K3" s="139" t="inlineStr">
        <is>
          <t>M10</t>
        </is>
      </c>
      <c r="L3" s="139" t="inlineStr">
        <is>
          <t>M11</t>
        </is>
      </c>
      <c r="M3" s="139" t="inlineStr">
        <is>
          <t>M12</t>
        </is>
      </c>
      <c r="N3" s="139" t="inlineStr">
        <is>
          <t>M13</t>
        </is>
      </c>
      <c r="O3" s="139" t="inlineStr">
        <is>
          <t>M14</t>
        </is>
      </c>
      <c r="P3" s="139" t="inlineStr">
        <is>
          <t>M15</t>
        </is>
      </c>
      <c r="Q3" s="139" t="inlineStr">
        <is>
          <t>M16</t>
        </is>
      </c>
      <c r="R3" s="139" t="inlineStr">
        <is>
          <t>M17</t>
        </is>
      </c>
      <c r="S3" s="139" t="inlineStr">
        <is>
          <t>M18</t>
        </is>
      </c>
      <c r="T3" s="139" t="inlineStr">
        <is>
          <t>M19</t>
        </is>
      </c>
      <c r="U3" s="139" t="inlineStr">
        <is>
          <t>M20</t>
        </is>
      </c>
      <c r="V3" s="139" t="inlineStr">
        <is>
          <t>M21</t>
        </is>
      </c>
      <c r="W3" s="139" t="inlineStr">
        <is>
          <t>M22</t>
        </is>
      </c>
      <c r="X3" s="139" t="inlineStr">
        <is>
          <t>M23</t>
        </is>
      </c>
      <c r="Y3" s="139" t="inlineStr">
        <is>
          <t>M24</t>
        </is>
      </c>
      <c r="Z3" s="139" t="inlineStr">
        <is>
          <t>M25</t>
        </is>
      </c>
      <c r="AA3" s="139" t="inlineStr">
        <is>
          <t>M26</t>
        </is>
      </c>
      <c r="AB3" s="139" t="inlineStr">
        <is>
          <t>M27</t>
        </is>
      </c>
      <c r="AC3" s="139" t="inlineStr">
        <is>
          <t>M28</t>
        </is>
      </c>
      <c r="AD3" s="139" t="inlineStr">
        <is>
          <t>M29</t>
        </is>
      </c>
      <c r="AE3" s="139" t="inlineStr">
        <is>
          <t>M30</t>
        </is>
      </c>
      <c r="AF3" s="139" t="inlineStr">
        <is>
          <t>M31</t>
        </is>
      </c>
      <c r="AG3" s="139" t="inlineStr">
        <is>
          <t>M32</t>
        </is>
      </c>
      <c r="AH3" s="139" t="inlineStr">
        <is>
          <t>M33</t>
        </is>
      </c>
      <c r="AI3" s="139" t="inlineStr">
        <is>
          <t>M34</t>
        </is>
      </c>
      <c r="AJ3" s="139" t="inlineStr">
        <is>
          <t>M35</t>
        </is>
      </c>
      <c r="AK3" s="139" t="inlineStr">
        <is>
          <t>M36</t>
        </is>
      </c>
    </row>
    <row r="4" ht="16" customHeight="1" s="239">
      <c r="A4" s="241" t="inlineStr">
        <is>
          <t>Opening Cash</t>
        </is>
      </c>
      <c r="B4" s="140" t="n">
        <v>0</v>
      </c>
      <c r="C4" s="140">
        <f>IFERROR(B26,"")</f>
        <v/>
      </c>
      <c r="D4" s="140">
        <f>IFERROR(C26,"")</f>
        <v/>
      </c>
      <c r="E4" s="140">
        <f>IFERROR(D26,"")</f>
        <v/>
      </c>
      <c r="F4" s="140">
        <f>IFERROR(E26,"")</f>
        <v/>
      </c>
      <c r="G4" s="140">
        <f>IFERROR(F26,"")</f>
        <v/>
      </c>
      <c r="H4" s="140">
        <f>IFERROR(G26,"")</f>
        <v/>
      </c>
      <c r="I4" s="140">
        <f>IFERROR(H26,"")</f>
        <v/>
      </c>
      <c r="J4" s="140">
        <f>IFERROR(I26,"")</f>
        <v/>
      </c>
      <c r="K4" s="140">
        <f>IFERROR(J26,"")</f>
        <v/>
      </c>
      <c r="L4" s="140">
        <f>IFERROR(K26,"")</f>
        <v/>
      </c>
      <c r="M4" s="140">
        <f>IFERROR(L26,"")</f>
        <v/>
      </c>
      <c r="N4" s="140">
        <f>IFERROR(M26,"")</f>
        <v/>
      </c>
      <c r="O4" s="140">
        <f>IFERROR(N26,"")</f>
        <v/>
      </c>
      <c r="P4" s="140">
        <f>IFERROR(O26,"")</f>
        <v/>
      </c>
      <c r="Q4" s="140">
        <f>IFERROR(P26,"")</f>
        <v/>
      </c>
      <c r="R4" s="140">
        <f>IFERROR(Q26,"")</f>
        <v/>
      </c>
      <c r="S4" s="140">
        <f>IFERROR(R26,"")</f>
        <v/>
      </c>
      <c r="T4" s="140">
        <f>IFERROR(S26,"")</f>
        <v/>
      </c>
      <c r="U4" s="140">
        <f>IFERROR(T26,"")</f>
        <v/>
      </c>
      <c r="V4" s="140">
        <f>IFERROR(U26,"")</f>
        <v/>
      </c>
      <c r="W4" s="140">
        <f>IFERROR(V26,"")</f>
        <v/>
      </c>
      <c r="X4" s="140">
        <f>IFERROR(W26,"")</f>
        <v/>
      </c>
      <c r="Y4" s="140">
        <f>IFERROR(X26,"")</f>
        <v/>
      </c>
      <c r="Z4" s="140">
        <f>IFERROR(Y26,"")</f>
        <v/>
      </c>
      <c r="AA4" s="140">
        <f>IFERROR(Z26,"")</f>
        <v/>
      </c>
      <c r="AB4" s="140">
        <f>IFERROR(AA26,"")</f>
        <v/>
      </c>
      <c r="AC4" s="140">
        <f>IFERROR(AB26,"")</f>
        <v/>
      </c>
      <c r="AD4" s="140">
        <f>IFERROR(AC26,"")</f>
        <v/>
      </c>
      <c r="AE4" s="140">
        <f>IFERROR(AD26,"")</f>
        <v/>
      </c>
      <c r="AF4" s="140">
        <f>IFERROR(AE26,"")</f>
        <v/>
      </c>
      <c r="AG4" s="140">
        <f>IFERROR(AF26,"")</f>
        <v/>
      </c>
      <c r="AH4" s="140">
        <f>IFERROR(AG26,"")</f>
        <v/>
      </c>
      <c r="AI4" s="140">
        <f>IFERROR(AH26,"")</f>
        <v/>
      </c>
      <c r="AJ4" s="140">
        <f>IFERROR(AI26,"")</f>
        <v/>
      </c>
      <c r="AK4" s="140">
        <f>IFERROR(AJ26,"")</f>
        <v/>
      </c>
    </row>
    <row r="5" ht="16" customHeight="1" s="239">
      <c r="A5" s="241" t="inlineStr">
        <is>
          <t>Feed Sales</t>
        </is>
      </c>
      <c r="B5" s="140">
        <f>IFERROR(FEED_FARM!B19/12,"")</f>
        <v/>
      </c>
      <c r="C5" s="140">
        <f>IFERROR(FEED_FARM!B19/12,"")</f>
        <v/>
      </c>
      <c r="D5" s="140">
        <f>IFERROR(FEED_FARM!B19/12,"")</f>
        <v/>
      </c>
      <c r="E5" s="140">
        <f>IFERROR(FEED_FARM!B19/12,"")</f>
        <v/>
      </c>
      <c r="F5" s="140">
        <f>IFERROR(FEED_FARM!B19/12,"")</f>
        <v/>
      </c>
      <c r="G5" s="140">
        <f>IFERROR(FEED_FARM!B19/12,"")</f>
        <v/>
      </c>
      <c r="H5" s="140">
        <f>IFERROR(FEED_FARM!B19/12,"")</f>
        <v/>
      </c>
      <c r="I5" s="140">
        <f>IFERROR(FEED_FARM!B19/12,"")</f>
        <v/>
      </c>
      <c r="J5" s="140">
        <f>IFERROR(FEED_FARM!B19/12,"")</f>
        <v/>
      </c>
      <c r="K5" s="140">
        <f>IFERROR(FEED_FARM!B19/12,"")</f>
        <v/>
      </c>
      <c r="L5" s="140">
        <f>IFERROR(FEED_FARM!B19/12,"")</f>
        <v/>
      </c>
      <c r="M5" s="140">
        <f>IFERROR(FEED_FARM!B19/12,"")</f>
        <v/>
      </c>
      <c r="N5" s="140">
        <f>IFERROR(FEED_FARM!C19/12,"")</f>
        <v/>
      </c>
      <c r="O5" s="140">
        <f>IFERROR(FEED_FARM!C19/12,"")</f>
        <v/>
      </c>
      <c r="P5" s="140">
        <f>IFERROR(FEED_FARM!C19/12,"")</f>
        <v/>
      </c>
      <c r="Q5" s="140">
        <f>IFERROR(FEED_FARM!C19/12,"")</f>
        <v/>
      </c>
      <c r="R5" s="140">
        <f>IFERROR(FEED_FARM!C19/12,"")</f>
        <v/>
      </c>
      <c r="S5" s="140">
        <f>IFERROR(FEED_FARM!C19/12,"")</f>
        <v/>
      </c>
      <c r="T5" s="140">
        <f>IFERROR(FEED_FARM!C19/12,"")</f>
        <v/>
      </c>
      <c r="U5" s="140">
        <f>IFERROR(FEED_FARM!C19/12,"")</f>
        <v/>
      </c>
      <c r="V5" s="140">
        <f>IFERROR(FEED_FARM!C19/12,"")</f>
        <v/>
      </c>
      <c r="W5" s="140">
        <f>IFERROR(FEED_FARM!C19/12,"")</f>
        <v/>
      </c>
      <c r="X5" s="140">
        <f>IFERROR(FEED_FARM!C19/12,"")</f>
        <v/>
      </c>
      <c r="Y5" s="140">
        <f>IFERROR(FEED_FARM!C19/12,"")</f>
        <v/>
      </c>
      <c r="Z5" s="140">
        <f>IFERROR(FEED_FARM!D19/12,"")</f>
        <v/>
      </c>
      <c r="AA5" s="140">
        <f>IFERROR(FEED_FARM!D19/12,"")</f>
        <v/>
      </c>
      <c r="AB5" s="140">
        <f>IFERROR(FEED_FARM!D19/12,"")</f>
        <v/>
      </c>
      <c r="AC5" s="140">
        <f>IFERROR(FEED_FARM!D19/12,"")</f>
        <v/>
      </c>
      <c r="AD5" s="140">
        <f>IFERROR(FEED_FARM!D19/12,"")</f>
        <v/>
      </c>
      <c r="AE5" s="140">
        <f>IFERROR(FEED_FARM!D19/12,"")</f>
        <v/>
      </c>
      <c r="AF5" s="140">
        <f>IFERROR(FEED_FARM!D19/12,"")</f>
        <v/>
      </c>
      <c r="AG5" s="140">
        <f>IFERROR(FEED_FARM!D19/12,"")</f>
        <v/>
      </c>
      <c r="AH5" s="140">
        <f>IFERROR(FEED_FARM!D19/12,"")</f>
        <v/>
      </c>
      <c r="AI5" s="140">
        <f>IFERROR(FEED_FARM!D19/12,"")</f>
        <v/>
      </c>
      <c r="AJ5" s="140">
        <f>IFERROR(FEED_FARM!D19/12,"")</f>
        <v/>
      </c>
      <c r="AK5" s="140">
        <f>IFERROR(FEED_FARM!D19/12,"")</f>
        <v/>
      </c>
    </row>
    <row r="6" ht="16" customHeight="1" s="239">
      <c r="A6" s="241" t="inlineStr">
        <is>
          <t>Milk Sales</t>
        </is>
      </c>
      <c r="B6" s="140">
        <f>IFERROR(BALANCE_SHEET!B32/12,"")</f>
        <v/>
      </c>
      <c r="C6" s="140">
        <f>IFERROR(BALANCE_SHEET!B32/12,"")</f>
        <v/>
      </c>
      <c r="D6" s="140">
        <f>IFERROR(BALANCE_SHEET!B32/12,"")</f>
        <v/>
      </c>
      <c r="E6" s="140">
        <f>IFERROR(BALANCE_SHEET!B32/12,"")</f>
        <v/>
      </c>
      <c r="F6" s="140">
        <f>IFERROR(BALANCE_SHEET!B32/12,"")</f>
        <v/>
      </c>
      <c r="G6" s="140">
        <f>IFERROR(BALANCE_SHEET!B32/12,"")</f>
        <v/>
      </c>
      <c r="H6" s="140">
        <f>IFERROR(BALANCE_SHEET!B32/12,"")</f>
        <v/>
      </c>
      <c r="I6" s="140">
        <f>IFERROR(BALANCE_SHEET!B32/12,"")</f>
        <v/>
      </c>
      <c r="J6" s="140">
        <f>IFERROR(BALANCE_SHEET!B32/12,"")</f>
        <v/>
      </c>
      <c r="K6" s="140">
        <f>IFERROR(BALANCE_SHEET!B32/12,"")</f>
        <v/>
      </c>
      <c r="L6" s="140">
        <f>IFERROR(BALANCE_SHEET!B32/12,"")</f>
        <v/>
      </c>
      <c r="M6" s="140">
        <f>IFERROR(BALANCE_SHEET!B32/12,"")</f>
        <v/>
      </c>
      <c r="N6" s="140">
        <f>IFERROR(BALANCE_SHEET!C32/12,"")</f>
        <v/>
      </c>
      <c r="O6" s="140">
        <f>IFERROR(BALANCE_SHEET!C32/12,"")</f>
        <v/>
      </c>
      <c r="P6" s="140">
        <f>IFERROR(BALANCE_SHEET!C32/12,"")</f>
        <v/>
      </c>
      <c r="Q6" s="140">
        <f>IFERROR(BALANCE_SHEET!C32/12,"")</f>
        <v/>
      </c>
      <c r="R6" s="140">
        <f>IFERROR(BALANCE_SHEET!C32/12,"")</f>
        <v/>
      </c>
      <c r="S6" s="140">
        <f>IFERROR(BALANCE_SHEET!C32/12,"")</f>
        <v/>
      </c>
      <c r="T6" s="140">
        <f>IFERROR(BALANCE_SHEET!C32/12,"")</f>
        <v/>
      </c>
      <c r="U6" s="140">
        <f>IFERROR(BALANCE_SHEET!C32/12,"")</f>
        <v/>
      </c>
      <c r="V6" s="140">
        <f>IFERROR(BALANCE_SHEET!C32/12,"")</f>
        <v/>
      </c>
      <c r="W6" s="140">
        <f>IFERROR(BALANCE_SHEET!C32/12,"")</f>
        <v/>
      </c>
      <c r="X6" s="140">
        <f>IFERROR(BALANCE_SHEET!C32/12,"")</f>
        <v/>
      </c>
      <c r="Y6" s="140">
        <f>IFERROR(BALANCE_SHEET!C32/12,"")</f>
        <v/>
      </c>
      <c r="Z6" s="140">
        <f>IFERROR(BALANCE_SHEET!D32/12,"")</f>
        <v/>
      </c>
      <c r="AA6" s="140">
        <f>IFERROR(BALANCE_SHEET!D32/12,"")</f>
        <v/>
      </c>
      <c r="AB6" s="140">
        <f>IFERROR(BALANCE_SHEET!D32/12,"")</f>
        <v/>
      </c>
      <c r="AC6" s="140">
        <f>IFERROR(BALANCE_SHEET!D32/12,"")</f>
        <v/>
      </c>
      <c r="AD6" s="140">
        <f>IFERROR(BALANCE_SHEET!D32/12,"")</f>
        <v/>
      </c>
      <c r="AE6" s="140">
        <f>IFERROR(BALANCE_SHEET!D32/12,"")</f>
        <v/>
      </c>
      <c r="AF6" s="140">
        <f>IFERROR(BALANCE_SHEET!D32/12,"")</f>
        <v/>
      </c>
      <c r="AG6" s="140">
        <f>IFERROR(BALANCE_SHEET!D32/12,"")</f>
        <v/>
      </c>
      <c r="AH6" s="140">
        <f>IFERROR(BALANCE_SHEET!D32/12,"")</f>
        <v/>
      </c>
      <c r="AI6" s="140">
        <f>IFERROR(BALANCE_SHEET!D32/12,"")</f>
        <v/>
      </c>
      <c r="AJ6" s="140">
        <f>IFERROR(BALANCE_SHEET!D32/12,"")</f>
        <v/>
      </c>
      <c r="AK6" s="140">
        <f>IFERROR(BALANCE_SHEET!D32/12,"")</f>
        <v/>
      </c>
    </row>
    <row r="7" ht="16" customHeight="1" s="239">
      <c r="A7" s="241" t="inlineStr">
        <is>
          <t>Bull Sales</t>
        </is>
      </c>
      <c r="B7" s="140">
        <f>IFERROR(FATTENING!B28,"")</f>
        <v/>
      </c>
      <c r="C7" s="140">
        <f>IFERROR(FATTENING!C28,"")</f>
        <v/>
      </c>
      <c r="D7" s="140">
        <f>IFERROR(FATTENING!D28,"")</f>
        <v/>
      </c>
      <c r="E7" s="140">
        <f>IFERROR(FATTENING!E28,"")</f>
        <v/>
      </c>
      <c r="F7" s="140">
        <f>IFERROR(FATTENING!F28,"")</f>
        <v/>
      </c>
      <c r="G7" s="140">
        <f>IFERROR(FATTENING!G28,"")</f>
        <v/>
      </c>
      <c r="H7" s="140">
        <f>IFERROR(FATTENING!H28,"")</f>
        <v/>
      </c>
      <c r="I7" s="140">
        <f>IFERROR(FATTENING!I28,"")</f>
        <v/>
      </c>
      <c r="J7" s="140">
        <f>IFERROR(FATTENING!J28,"")</f>
        <v/>
      </c>
      <c r="K7" s="140">
        <f>IFERROR(FATTENING!K28,"")</f>
        <v/>
      </c>
      <c r="L7" s="140">
        <f>IFERROR(FATTENING!L28,"")</f>
        <v/>
      </c>
      <c r="M7" s="140">
        <f>IFERROR(FATTENING!M28,"")</f>
        <v/>
      </c>
      <c r="N7" s="140">
        <f>IFERROR(FATTENING!N28,"")</f>
        <v/>
      </c>
      <c r="O7" s="140">
        <f>IFERROR(FATTENING!O28,"")</f>
        <v/>
      </c>
      <c r="P7" s="140">
        <f>IFERROR(FATTENING!P28,"")</f>
        <v/>
      </c>
      <c r="Q7" s="140">
        <f>IFERROR(FATTENING!Q28,"")</f>
        <v/>
      </c>
      <c r="R7" s="140">
        <f>IFERROR(FATTENING!R28,"")</f>
        <v/>
      </c>
      <c r="S7" s="140">
        <f>IFERROR(FATTENING!S28,"")</f>
        <v/>
      </c>
      <c r="T7" s="140">
        <f>IFERROR(FATTENING!T28,"")</f>
        <v/>
      </c>
      <c r="U7" s="140">
        <f>IFERROR(FATTENING!U28,"")</f>
        <v/>
      </c>
      <c r="V7" s="140">
        <f>IFERROR(FATTENING!V28,"")</f>
        <v/>
      </c>
      <c r="W7" s="140">
        <f>IFERROR(FATTENING!W28,"")</f>
        <v/>
      </c>
      <c r="X7" s="140">
        <f>IFERROR(FATTENING!X28,"")</f>
        <v/>
      </c>
      <c r="Y7" s="140">
        <f>IFERROR(FATTENING!Y28,"")</f>
        <v/>
      </c>
      <c r="Z7" s="140">
        <f>IFERROR(FATTENING!Z28,"")</f>
        <v/>
      </c>
      <c r="AA7" s="140">
        <f>IFERROR(FATTENING!AA28,"")</f>
        <v/>
      </c>
      <c r="AB7" s="140">
        <f>IFERROR(FATTENING!AB28,"")</f>
        <v/>
      </c>
      <c r="AC7" s="140">
        <f>IFERROR(FATTENING!AC28,"")</f>
        <v/>
      </c>
      <c r="AD7" s="140">
        <f>IFERROR(FATTENING!AD28,"")</f>
        <v/>
      </c>
      <c r="AE7" s="140">
        <f>IFERROR(FATTENING!AE28,"")</f>
        <v/>
      </c>
      <c r="AF7" s="140">
        <f>IFERROR(FATTENING!AF28,"")</f>
        <v/>
      </c>
      <c r="AG7" s="140">
        <f>IFERROR(FATTENING!AG28,"")</f>
        <v/>
      </c>
      <c r="AH7" s="140">
        <f>IFERROR(FATTENING!AH28,"")</f>
        <v/>
      </c>
      <c r="AI7" s="140">
        <f>IFERROR(FATTENING!AI28,"")</f>
        <v/>
      </c>
      <c r="AJ7" s="140">
        <f>IFERROR(FATTENING!AJ28,"")</f>
        <v/>
      </c>
      <c r="AK7" s="140">
        <f>IFERROR(FATTENING!AK28,"")</f>
        <v/>
      </c>
    </row>
    <row r="8" ht="16" customHeight="1" s="239">
      <c r="A8" s="241" t="inlineStr">
        <is>
          <t>Cull / Manure / Other Sales</t>
        </is>
      </c>
      <c r="B8" s="140">
        <f>IFERROR((BALANCE_SHEET!B33+BALANCE_SHEET!B34+BALANCE_SHEET!B35)/12,"")</f>
        <v/>
      </c>
      <c r="C8" s="140">
        <f>IFERROR((BALANCE_SHEET!B33+BALANCE_SHEET!B34+BALANCE_SHEET!B35)/12,"")</f>
        <v/>
      </c>
      <c r="D8" s="140">
        <f>IFERROR((BALANCE_SHEET!B33+BALANCE_SHEET!B34+BALANCE_SHEET!B35)/12,"")</f>
        <v/>
      </c>
      <c r="E8" s="140">
        <f>IFERROR((BALANCE_SHEET!B33+BALANCE_SHEET!B34+BALANCE_SHEET!B35)/12,"")</f>
        <v/>
      </c>
      <c r="F8" s="140">
        <f>IFERROR((BALANCE_SHEET!B33+BALANCE_SHEET!B34+BALANCE_SHEET!B35)/12,"")</f>
        <v/>
      </c>
      <c r="G8" s="140">
        <f>IFERROR((BALANCE_SHEET!B33+BALANCE_SHEET!B34+BALANCE_SHEET!B35)/12,"")</f>
        <v/>
      </c>
      <c r="H8" s="140">
        <f>IFERROR((BALANCE_SHEET!B33+BALANCE_SHEET!B34+BALANCE_SHEET!B35)/12,"")</f>
        <v/>
      </c>
      <c r="I8" s="140">
        <f>IFERROR((BALANCE_SHEET!B33+BALANCE_SHEET!B34+BALANCE_SHEET!B35)/12,"")</f>
        <v/>
      </c>
      <c r="J8" s="140">
        <f>IFERROR((BALANCE_SHEET!B33+BALANCE_SHEET!B34+BALANCE_SHEET!B35)/12,"")</f>
        <v/>
      </c>
      <c r="K8" s="140">
        <f>IFERROR((BALANCE_SHEET!B33+BALANCE_SHEET!B34+BALANCE_SHEET!B35)/12,"")</f>
        <v/>
      </c>
      <c r="L8" s="140">
        <f>IFERROR((BALANCE_SHEET!B33+BALANCE_SHEET!B34+BALANCE_SHEET!B35)/12,"")</f>
        <v/>
      </c>
      <c r="M8" s="140">
        <f>IFERROR((BALANCE_SHEET!B33+BALANCE_SHEET!B34+BALANCE_SHEET!B35)/12,"")</f>
        <v/>
      </c>
      <c r="N8" s="140">
        <f>IFERROR((BALANCE_SHEET!C33+BALANCE_SHEET!C34+BALANCE_SHEET!C35)/12,"")</f>
        <v/>
      </c>
      <c r="O8" s="140">
        <f>IFERROR((BALANCE_SHEET!C33+BALANCE_SHEET!C34+BALANCE_SHEET!C35)/12,"")</f>
        <v/>
      </c>
      <c r="P8" s="140">
        <f>IFERROR((BALANCE_SHEET!C33+BALANCE_SHEET!C34+BALANCE_SHEET!C35)/12,"")</f>
        <v/>
      </c>
      <c r="Q8" s="140">
        <f>IFERROR((BALANCE_SHEET!C33+BALANCE_SHEET!C34+BALANCE_SHEET!C35)/12,"")</f>
        <v/>
      </c>
      <c r="R8" s="140">
        <f>IFERROR((BALANCE_SHEET!C33+BALANCE_SHEET!C34+BALANCE_SHEET!C35)/12,"")</f>
        <v/>
      </c>
      <c r="S8" s="140">
        <f>IFERROR((BALANCE_SHEET!C33+BALANCE_SHEET!C34+BALANCE_SHEET!C35)/12,"")</f>
        <v/>
      </c>
      <c r="T8" s="140">
        <f>IFERROR((BALANCE_SHEET!C33+BALANCE_SHEET!C34+BALANCE_SHEET!C35)/12,"")</f>
        <v/>
      </c>
      <c r="U8" s="140">
        <f>IFERROR((BALANCE_SHEET!C33+BALANCE_SHEET!C34+BALANCE_SHEET!C35)/12,"")</f>
        <v/>
      </c>
      <c r="V8" s="140">
        <f>IFERROR((BALANCE_SHEET!C33+BALANCE_SHEET!C34+BALANCE_SHEET!C35)/12,"")</f>
        <v/>
      </c>
      <c r="W8" s="140">
        <f>IFERROR((BALANCE_SHEET!C33+BALANCE_SHEET!C34+BALANCE_SHEET!C35)/12,"")</f>
        <v/>
      </c>
      <c r="X8" s="140">
        <f>IFERROR((BALANCE_SHEET!C33+BALANCE_SHEET!C34+BALANCE_SHEET!C35)/12,"")</f>
        <v/>
      </c>
      <c r="Y8" s="140">
        <f>IFERROR((BALANCE_SHEET!C33+BALANCE_SHEET!C34+BALANCE_SHEET!C35)/12,"")</f>
        <v/>
      </c>
      <c r="Z8" s="140">
        <f>IFERROR((BALANCE_SHEET!D33+BALANCE_SHEET!D34+BALANCE_SHEET!D35)/12,"")</f>
        <v/>
      </c>
      <c r="AA8" s="140">
        <f>IFERROR((BALANCE_SHEET!D33+BALANCE_SHEET!D34+BALANCE_SHEET!D35)/12,"")</f>
        <v/>
      </c>
      <c r="AB8" s="140">
        <f>IFERROR((BALANCE_SHEET!D33+BALANCE_SHEET!D34+BALANCE_SHEET!D35)/12,"")</f>
        <v/>
      </c>
      <c r="AC8" s="140">
        <f>IFERROR((BALANCE_SHEET!D33+BALANCE_SHEET!D34+BALANCE_SHEET!D35)/12,"")</f>
        <v/>
      </c>
      <c r="AD8" s="140">
        <f>IFERROR((BALANCE_SHEET!D33+BALANCE_SHEET!D34+BALANCE_SHEET!D35)/12,"")</f>
        <v/>
      </c>
      <c r="AE8" s="140">
        <f>IFERROR((BALANCE_SHEET!D33+BALANCE_SHEET!D34+BALANCE_SHEET!D35)/12,"")</f>
        <v/>
      </c>
      <c r="AF8" s="140">
        <f>IFERROR((BALANCE_SHEET!D33+BALANCE_SHEET!D34+BALANCE_SHEET!D35)/12,"")</f>
        <v/>
      </c>
      <c r="AG8" s="140">
        <f>IFERROR((BALANCE_SHEET!D33+BALANCE_SHEET!D34+BALANCE_SHEET!D35)/12,"")</f>
        <v/>
      </c>
      <c r="AH8" s="140">
        <f>IFERROR((BALANCE_SHEET!D33+BALANCE_SHEET!D34+BALANCE_SHEET!D35)/12,"")</f>
        <v/>
      </c>
      <c r="AI8" s="140">
        <f>IFERROR((BALANCE_SHEET!D33+BALANCE_SHEET!D34+BALANCE_SHEET!D35)/12,"")</f>
        <v/>
      </c>
      <c r="AJ8" s="140">
        <f>IFERROR((BALANCE_SHEET!D33+BALANCE_SHEET!D34+BALANCE_SHEET!D35)/12,"")</f>
        <v/>
      </c>
      <c r="AK8" s="140">
        <f>IFERROR((BALANCE_SHEET!D33+BALANCE_SHEET!D34+BALANCE_SHEET!D35)/12,"")</f>
        <v/>
      </c>
    </row>
    <row r="9" ht="16" customHeight="1" s="239">
      <c r="A9" s="241" t="inlineStr">
        <is>
          <t>Logistics Revenue</t>
        </is>
      </c>
      <c r="B9" s="140">
        <f>IFERROR(LOGISTICS!B9/12,"")</f>
        <v/>
      </c>
      <c r="C9" s="140">
        <f>IFERROR(LOGISTICS!B9/12,"")</f>
        <v/>
      </c>
      <c r="D9" s="140">
        <f>IFERROR(LOGISTICS!B9/12,"")</f>
        <v/>
      </c>
      <c r="E9" s="140">
        <f>IFERROR(LOGISTICS!B9/12,"")</f>
        <v/>
      </c>
      <c r="F9" s="140">
        <f>IFERROR(LOGISTICS!B9/12,"")</f>
        <v/>
      </c>
      <c r="G9" s="140">
        <f>IFERROR(LOGISTICS!B9/12,"")</f>
        <v/>
      </c>
      <c r="H9" s="140">
        <f>IFERROR(LOGISTICS!B9/12,"")</f>
        <v/>
      </c>
      <c r="I9" s="140">
        <f>IFERROR(LOGISTICS!B9/12,"")</f>
        <v/>
      </c>
      <c r="J9" s="140">
        <f>IFERROR(LOGISTICS!B9/12,"")</f>
        <v/>
      </c>
      <c r="K9" s="140">
        <f>IFERROR(LOGISTICS!B9/12,"")</f>
        <v/>
      </c>
      <c r="L9" s="140">
        <f>IFERROR(LOGISTICS!B9/12,"")</f>
        <v/>
      </c>
      <c r="M9" s="140">
        <f>IFERROR(LOGISTICS!B9/12,"")</f>
        <v/>
      </c>
      <c r="N9" s="140">
        <f>IFERROR(LOGISTICS!C9/12,"")</f>
        <v/>
      </c>
      <c r="O9" s="140">
        <f>IFERROR(LOGISTICS!C9/12,"")</f>
        <v/>
      </c>
      <c r="P9" s="140">
        <f>IFERROR(LOGISTICS!C9/12,"")</f>
        <v/>
      </c>
      <c r="Q9" s="140">
        <f>IFERROR(LOGISTICS!C9/12,"")</f>
        <v/>
      </c>
      <c r="R9" s="140">
        <f>IFERROR(LOGISTICS!C9/12,"")</f>
        <v/>
      </c>
      <c r="S9" s="140">
        <f>IFERROR(LOGISTICS!C9/12,"")</f>
        <v/>
      </c>
      <c r="T9" s="140">
        <f>IFERROR(LOGISTICS!C9/12,"")</f>
        <v/>
      </c>
      <c r="U9" s="140">
        <f>IFERROR(LOGISTICS!C9/12,"")</f>
        <v/>
      </c>
      <c r="V9" s="140">
        <f>IFERROR(LOGISTICS!C9/12,"")</f>
        <v/>
      </c>
      <c r="W9" s="140">
        <f>IFERROR(LOGISTICS!C9/12,"")</f>
        <v/>
      </c>
      <c r="X9" s="140">
        <f>IFERROR(LOGISTICS!C9/12,"")</f>
        <v/>
      </c>
      <c r="Y9" s="140">
        <f>IFERROR(LOGISTICS!C9/12,"")</f>
        <v/>
      </c>
      <c r="Z9" s="140">
        <f>IFERROR(LOGISTICS!D9/12,"")</f>
        <v/>
      </c>
      <c r="AA9" s="140">
        <f>IFERROR(LOGISTICS!D9/12,"")</f>
        <v/>
      </c>
      <c r="AB9" s="140">
        <f>IFERROR(LOGISTICS!D9/12,"")</f>
        <v/>
      </c>
      <c r="AC9" s="140">
        <f>IFERROR(LOGISTICS!D9/12,"")</f>
        <v/>
      </c>
      <c r="AD9" s="140">
        <f>IFERROR(LOGISTICS!D9/12,"")</f>
        <v/>
      </c>
      <c r="AE9" s="140">
        <f>IFERROR(LOGISTICS!D9/12,"")</f>
        <v/>
      </c>
      <c r="AF9" s="140">
        <f>IFERROR(LOGISTICS!D9/12,"")</f>
        <v/>
      </c>
      <c r="AG9" s="140">
        <f>IFERROR(LOGISTICS!D9/12,"")</f>
        <v/>
      </c>
      <c r="AH9" s="140">
        <f>IFERROR(LOGISTICS!D9/12,"")</f>
        <v/>
      </c>
      <c r="AI9" s="140">
        <f>IFERROR(LOGISTICS!D9/12,"")</f>
        <v/>
      </c>
      <c r="AJ9" s="140">
        <f>IFERROR(LOGISTICS!D9/12,"")</f>
        <v/>
      </c>
      <c r="AK9" s="140">
        <f>IFERROR(LOGISTICS!D9/12,"")</f>
        <v/>
      </c>
    </row>
    <row r="10" ht="16" customHeight="1" s="239">
      <c r="A10" s="151" t="inlineStr">
        <is>
          <t>Total Operating Inflows</t>
        </is>
      </c>
      <c r="B10" s="152">
        <f>IFERROR(SUM(B5:B9),"")</f>
        <v/>
      </c>
      <c r="C10" s="152">
        <f>IFERROR(SUM(C5:C9),"")</f>
        <v/>
      </c>
      <c r="D10" s="152">
        <f>IFERROR(SUM(D5:D9),"")</f>
        <v/>
      </c>
      <c r="E10" s="152">
        <f>IFERROR(SUM(E5:E9),"")</f>
        <v/>
      </c>
      <c r="F10" s="152">
        <f>IFERROR(SUM(F5:F9),"")</f>
        <v/>
      </c>
      <c r="G10" s="152">
        <f>IFERROR(SUM(G5:G9),"")</f>
        <v/>
      </c>
      <c r="H10" s="152">
        <f>IFERROR(SUM(H5:H9),"")</f>
        <v/>
      </c>
      <c r="I10" s="152">
        <f>IFERROR(SUM(I5:I9),"")</f>
        <v/>
      </c>
      <c r="J10" s="152">
        <f>IFERROR(SUM(J5:J9),"")</f>
        <v/>
      </c>
      <c r="K10" s="152">
        <f>IFERROR(SUM(K5:K9),"")</f>
        <v/>
      </c>
      <c r="L10" s="152">
        <f>IFERROR(SUM(L5:L9),"")</f>
        <v/>
      </c>
      <c r="M10" s="152">
        <f>IFERROR(SUM(M5:M9),"")</f>
        <v/>
      </c>
      <c r="N10" s="152">
        <f>IFERROR(SUM(N5:N9),"")</f>
        <v/>
      </c>
      <c r="O10" s="152">
        <f>IFERROR(SUM(O5:O9),"")</f>
        <v/>
      </c>
      <c r="P10" s="152">
        <f>IFERROR(SUM(P5:P9),"")</f>
        <v/>
      </c>
      <c r="Q10" s="152">
        <f>IFERROR(SUM(Q5:Q9),"")</f>
        <v/>
      </c>
      <c r="R10" s="152">
        <f>IFERROR(SUM(R5:R9),"")</f>
        <v/>
      </c>
      <c r="S10" s="152">
        <f>IFERROR(SUM(S5:S9),"")</f>
        <v/>
      </c>
      <c r="T10" s="152">
        <f>IFERROR(SUM(T5:T9),"")</f>
        <v/>
      </c>
      <c r="U10" s="152">
        <f>IFERROR(SUM(U5:U9),"")</f>
        <v/>
      </c>
      <c r="V10" s="152">
        <f>IFERROR(SUM(V5:V9),"")</f>
        <v/>
      </c>
      <c r="W10" s="152">
        <f>IFERROR(SUM(W5:W9),"")</f>
        <v/>
      </c>
      <c r="X10" s="152">
        <f>IFERROR(SUM(X5:X9),"")</f>
        <v/>
      </c>
      <c r="Y10" s="152">
        <f>IFERROR(SUM(Y5:Y9),"")</f>
        <v/>
      </c>
      <c r="Z10" s="152">
        <f>IFERROR(SUM(Z5:Z9),"")</f>
        <v/>
      </c>
      <c r="AA10" s="152">
        <f>IFERROR(SUM(AA5:AA9),"")</f>
        <v/>
      </c>
      <c r="AB10" s="152">
        <f>IFERROR(SUM(AB5:AB9),"")</f>
        <v/>
      </c>
      <c r="AC10" s="152">
        <f>IFERROR(SUM(AC5:AC9),"")</f>
        <v/>
      </c>
      <c r="AD10" s="152">
        <f>IFERROR(SUM(AD5:AD9),"")</f>
        <v/>
      </c>
      <c r="AE10" s="152">
        <f>IFERROR(SUM(AE5:AE9),"")</f>
        <v/>
      </c>
      <c r="AF10" s="152">
        <f>IFERROR(SUM(AF5:AF9),"")</f>
        <v/>
      </c>
      <c r="AG10" s="152">
        <f>IFERROR(SUM(AG5:AG9),"")</f>
        <v/>
      </c>
      <c r="AH10" s="152">
        <f>IFERROR(SUM(AH5:AH9),"")</f>
        <v/>
      </c>
      <c r="AI10" s="152">
        <f>IFERROR(SUM(AI5:AI9),"")</f>
        <v/>
      </c>
      <c r="AJ10" s="152">
        <f>IFERROR(SUM(AJ5:AJ9),"")</f>
        <v/>
      </c>
      <c r="AK10" s="152">
        <f>IFERROR(SUM(AK5:AK9),"")</f>
        <v/>
      </c>
    </row>
    <row r="11" ht="16" customHeight="1" s="239">
      <c r="A11" s="241" t="inlineStr">
        <is>
          <t>Feed Farm Costs</t>
        </is>
      </c>
      <c r="B11" s="140">
        <f>IFERROR(FEED_FARM!B21/12,"")</f>
        <v/>
      </c>
      <c r="C11" s="140">
        <f>IFERROR(FEED_FARM!B21/12,"")</f>
        <v/>
      </c>
      <c r="D11" s="140">
        <f>IFERROR(FEED_FARM!B21/12,"")</f>
        <v/>
      </c>
      <c r="E11" s="140">
        <f>IFERROR(FEED_FARM!B21/12,"")</f>
        <v/>
      </c>
      <c r="F11" s="140">
        <f>IFERROR(FEED_FARM!B21/12,"")</f>
        <v/>
      </c>
      <c r="G11" s="140">
        <f>IFERROR(FEED_FARM!B21/12,"")</f>
        <v/>
      </c>
      <c r="H11" s="140">
        <f>IFERROR(FEED_FARM!B21/12,"")</f>
        <v/>
      </c>
      <c r="I11" s="140">
        <f>IFERROR(FEED_FARM!B21/12,"")</f>
        <v/>
      </c>
      <c r="J11" s="140">
        <f>IFERROR(FEED_FARM!B21/12,"")</f>
        <v/>
      </c>
      <c r="K11" s="140">
        <f>IFERROR(FEED_FARM!B21/12,"")</f>
        <v/>
      </c>
      <c r="L11" s="140">
        <f>IFERROR(FEED_FARM!B21/12,"")</f>
        <v/>
      </c>
      <c r="M11" s="140">
        <f>IFERROR(FEED_FARM!B21/12,"")</f>
        <v/>
      </c>
      <c r="N11" s="140">
        <f>IFERROR(FEED_FARM!C21/12,"")</f>
        <v/>
      </c>
      <c r="O11" s="140">
        <f>IFERROR(FEED_FARM!C21/12,"")</f>
        <v/>
      </c>
      <c r="P11" s="140">
        <f>IFERROR(FEED_FARM!C21/12,"")</f>
        <v/>
      </c>
      <c r="Q11" s="140">
        <f>IFERROR(FEED_FARM!C21/12,"")</f>
        <v/>
      </c>
      <c r="R11" s="140">
        <f>IFERROR(FEED_FARM!C21/12,"")</f>
        <v/>
      </c>
      <c r="S11" s="140">
        <f>IFERROR(FEED_FARM!C21/12,"")</f>
        <v/>
      </c>
      <c r="T11" s="140">
        <f>IFERROR(FEED_FARM!C21/12,"")</f>
        <v/>
      </c>
      <c r="U11" s="140">
        <f>IFERROR(FEED_FARM!C21/12,"")</f>
        <v/>
      </c>
      <c r="V11" s="140">
        <f>IFERROR(FEED_FARM!C21/12,"")</f>
        <v/>
      </c>
      <c r="W11" s="140">
        <f>IFERROR(FEED_FARM!C21/12,"")</f>
        <v/>
      </c>
      <c r="X11" s="140">
        <f>IFERROR(FEED_FARM!C21/12,"")</f>
        <v/>
      </c>
      <c r="Y11" s="140">
        <f>IFERROR(FEED_FARM!C21/12,"")</f>
        <v/>
      </c>
      <c r="Z11" s="140">
        <f>IFERROR(FEED_FARM!D21/12,"")</f>
        <v/>
      </c>
      <c r="AA11" s="140">
        <f>IFERROR(FEED_FARM!D21/12,"")</f>
        <v/>
      </c>
      <c r="AB11" s="140">
        <f>IFERROR(FEED_FARM!D21/12,"")</f>
        <v/>
      </c>
      <c r="AC11" s="140">
        <f>IFERROR(FEED_FARM!D21/12,"")</f>
        <v/>
      </c>
      <c r="AD11" s="140">
        <f>IFERROR(FEED_FARM!D21/12,"")</f>
        <v/>
      </c>
      <c r="AE11" s="140">
        <f>IFERROR(FEED_FARM!D21/12,"")</f>
        <v/>
      </c>
      <c r="AF11" s="140">
        <f>IFERROR(FEED_FARM!D21/12,"")</f>
        <v/>
      </c>
      <c r="AG11" s="140">
        <f>IFERROR(FEED_FARM!D21/12,"")</f>
        <v/>
      </c>
      <c r="AH11" s="140">
        <f>IFERROR(FEED_FARM!D21/12,"")</f>
        <v/>
      </c>
      <c r="AI11" s="140">
        <f>IFERROR(FEED_FARM!D21/12,"")</f>
        <v/>
      </c>
      <c r="AJ11" s="140">
        <f>IFERROR(FEED_FARM!D21/12,"")</f>
        <v/>
      </c>
      <c r="AK11" s="140">
        <f>IFERROR(FEED_FARM!D21/12,"")</f>
        <v/>
      </c>
    </row>
    <row r="12" ht="16" customHeight="1" s="239">
      <c r="A12" s="241" t="inlineStr">
        <is>
          <t>Dairy Costs</t>
        </is>
      </c>
      <c r="B12" s="140">
        <f>IFERROR(DAIRY!B14/12,"")</f>
        <v/>
      </c>
      <c r="C12" s="140">
        <f>IFERROR(DAIRY!B14/12,"")</f>
        <v/>
      </c>
      <c r="D12" s="140">
        <f>IFERROR(DAIRY!B14/12,"")</f>
        <v/>
      </c>
      <c r="E12" s="140">
        <f>IFERROR(DAIRY!B14/12,"")</f>
        <v/>
      </c>
      <c r="F12" s="140">
        <f>IFERROR(DAIRY!B14/12,"")</f>
        <v/>
      </c>
      <c r="G12" s="140">
        <f>IFERROR(DAIRY!B14/12,"")</f>
        <v/>
      </c>
      <c r="H12" s="140">
        <f>IFERROR(DAIRY!B14/12,"")</f>
        <v/>
      </c>
      <c r="I12" s="140">
        <f>IFERROR(DAIRY!B14/12,"")</f>
        <v/>
      </c>
      <c r="J12" s="140">
        <f>IFERROR(DAIRY!B14/12,"")</f>
        <v/>
      </c>
      <c r="K12" s="140">
        <f>IFERROR(DAIRY!B14/12,"")</f>
        <v/>
      </c>
      <c r="L12" s="140">
        <f>IFERROR(DAIRY!B14/12,"")</f>
        <v/>
      </c>
      <c r="M12" s="140">
        <f>IFERROR(DAIRY!B14/12,"")</f>
        <v/>
      </c>
      <c r="N12" s="140">
        <f>IFERROR(DAIRY!C14/12,"")</f>
        <v/>
      </c>
      <c r="O12" s="140">
        <f>IFERROR(DAIRY!C14/12,"")</f>
        <v/>
      </c>
      <c r="P12" s="140">
        <f>IFERROR(DAIRY!C14/12,"")</f>
        <v/>
      </c>
      <c r="Q12" s="140">
        <f>IFERROR(DAIRY!C14/12,"")</f>
        <v/>
      </c>
      <c r="R12" s="140">
        <f>IFERROR(DAIRY!C14/12,"")</f>
        <v/>
      </c>
      <c r="S12" s="140">
        <f>IFERROR(DAIRY!C14/12,"")</f>
        <v/>
      </c>
      <c r="T12" s="140">
        <f>IFERROR(DAIRY!C14/12,"")</f>
        <v/>
      </c>
      <c r="U12" s="140">
        <f>IFERROR(DAIRY!C14/12,"")</f>
        <v/>
      </c>
      <c r="V12" s="140">
        <f>IFERROR(DAIRY!C14/12,"")</f>
        <v/>
      </c>
      <c r="W12" s="140">
        <f>IFERROR(DAIRY!C14/12,"")</f>
        <v/>
      </c>
      <c r="X12" s="140">
        <f>IFERROR(DAIRY!C14/12,"")</f>
        <v/>
      </c>
      <c r="Y12" s="140">
        <f>IFERROR(DAIRY!C14/12,"")</f>
        <v/>
      </c>
      <c r="Z12" s="140">
        <f>IFERROR(DAIRY!D14/12,"")</f>
        <v/>
      </c>
      <c r="AA12" s="140">
        <f>IFERROR(DAIRY!D14/12,"")</f>
        <v/>
      </c>
      <c r="AB12" s="140">
        <f>IFERROR(DAIRY!D14/12,"")</f>
        <v/>
      </c>
      <c r="AC12" s="140">
        <f>IFERROR(DAIRY!D14/12,"")</f>
        <v/>
      </c>
      <c r="AD12" s="140">
        <f>IFERROR(DAIRY!D14/12,"")</f>
        <v/>
      </c>
      <c r="AE12" s="140">
        <f>IFERROR(DAIRY!D14/12,"")</f>
        <v/>
      </c>
      <c r="AF12" s="140">
        <f>IFERROR(DAIRY!D14/12,"")</f>
        <v/>
      </c>
      <c r="AG12" s="140">
        <f>IFERROR(DAIRY!D14/12,"")</f>
        <v/>
      </c>
      <c r="AH12" s="140">
        <f>IFERROR(DAIRY!D14/12,"")</f>
        <v/>
      </c>
      <c r="AI12" s="140">
        <f>IFERROR(DAIRY!D14/12,"")</f>
        <v/>
      </c>
      <c r="AJ12" s="140">
        <f>IFERROR(DAIRY!D14/12,"")</f>
        <v/>
      </c>
      <c r="AK12" s="140">
        <f>IFERROR(DAIRY!D14/12,"")</f>
        <v/>
      </c>
    </row>
    <row r="13" ht="32" customHeight="1" s="239">
      <c r="A13" s="241" t="inlineStr">
        <is>
          <t>Fattening Costs incl. Cycle Bull Purchases</t>
        </is>
      </c>
      <c r="B13" s="140">
        <f>IFERROR(FATTENING!B29+FATTENING!B30+FATTENING!B31+FATTENING!B33,"")</f>
        <v/>
      </c>
      <c r="C13" s="140">
        <f>IFERROR(FATTENING!C29+FATTENING!C30+FATTENING!C31+FATTENING!C33,"")</f>
        <v/>
      </c>
      <c r="D13" s="140">
        <f>IFERROR(FATTENING!D29+FATTENING!D30+FATTENING!D31+FATTENING!D33,"")</f>
        <v/>
      </c>
      <c r="E13" s="140">
        <f>IFERROR(FATTENING!E29+FATTENING!E30+FATTENING!E31+FATTENING!E33,"")</f>
        <v/>
      </c>
      <c r="F13" s="140">
        <f>IFERROR(FATTENING!F29+FATTENING!F30+FATTENING!F31+FATTENING!F33,"")</f>
        <v/>
      </c>
      <c r="G13" s="140">
        <f>IFERROR(FATTENING!G29+FATTENING!G30+FATTENING!G31+FATTENING!G33,"")</f>
        <v/>
      </c>
      <c r="H13" s="140">
        <f>IFERROR(FATTENING!H29+FATTENING!H30+FATTENING!H31+FATTENING!H33,"")</f>
        <v/>
      </c>
      <c r="I13" s="140">
        <f>IFERROR(FATTENING!I29+FATTENING!I30+FATTENING!I31+FATTENING!I33,"")</f>
        <v/>
      </c>
      <c r="J13" s="140">
        <f>IFERROR(FATTENING!J29+FATTENING!J30+FATTENING!J31+FATTENING!J33,"")</f>
        <v/>
      </c>
      <c r="K13" s="140">
        <f>IFERROR(FATTENING!K29+FATTENING!K30+FATTENING!K31+FATTENING!K33,"")</f>
        <v/>
      </c>
      <c r="L13" s="140">
        <f>IFERROR(FATTENING!L29+FATTENING!L30+FATTENING!L31+FATTENING!L33,"")</f>
        <v/>
      </c>
      <c r="M13" s="140">
        <f>IFERROR(FATTENING!M29+FATTENING!M30+FATTENING!M31+FATTENING!M33,"")</f>
        <v/>
      </c>
      <c r="N13" s="140">
        <f>IFERROR(FATTENING!N29+FATTENING!N30+FATTENING!N31+FATTENING!N33,"")</f>
        <v/>
      </c>
      <c r="O13" s="140">
        <f>IFERROR(FATTENING!O29+FATTENING!O30+FATTENING!O31+FATTENING!O33,"")</f>
        <v/>
      </c>
      <c r="P13" s="140">
        <f>IFERROR(FATTENING!P29+FATTENING!P30+FATTENING!P31+FATTENING!P33,"")</f>
        <v/>
      </c>
      <c r="Q13" s="140">
        <f>IFERROR(FATTENING!Q29+FATTENING!Q30+FATTENING!Q31+FATTENING!Q33,"")</f>
        <v/>
      </c>
      <c r="R13" s="140">
        <f>IFERROR(FATTENING!R29+FATTENING!R30+FATTENING!R31+FATTENING!R33,"")</f>
        <v/>
      </c>
      <c r="S13" s="140">
        <f>IFERROR(FATTENING!S29+FATTENING!S30+FATTENING!S31+FATTENING!S33,"")</f>
        <v/>
      </c>
      <c r="T13" s="140">
        <f>IFERROR(FATTENING!T29+FATTENING!T30+FATTENING!T31+FATTENING!T33,"")</f>
        <v/>
      </c>
      <c r="U13" s="140">
        <f>IFERROR(FATTENING!U29+FATTENING!U30+FATTENING!U31+FATTENING!U33,"")</f>
        <v/>
      </c>
      <c r="V13" s="140">
        <f>IFERROR(FATTENING!V29+FATTENING!V30+FATTENING!V31+FATTENING!V33,"")</f>
        <v/>
      </c>
      <c r="W13" s="140">
        <f>IFERROR(FATTENING!W29+FATTENING!W30+FATTENING!W31+FATTENING!W33,"")</f>
        <v/>
      </c>
      <c r="X13" s="140">
        <f>IFERROR(FATTENING!X29+FATTENING!X30+FATTENING!X31+FATTENING!X33,"")</f>
        <v/>
      </c>
      <c r="Y13" s="140">
        <f>IFERROR(FATTENING!Y29+FATTENING!Y30+FATTENING!Y31+FATTENING!Y33,"")</f>
        <v/>
      </c>
      <c r="Z13" s="140">
        <f>IFERROR(FATTENING!Z29+FATTENING!Z30+FATTENING!Z31+FATTENING!Z33,"")</f>
        <v/>
      </c>
      <c r="AA13" s="140">
        <f>IFERROR(FATTENING!AA29+FATTENING!AA30+FATTENING!AA31+FATTENING!AA33,"")</f>
        <v/>
      </c>
      <c r="AB13" s="140">
        <f>IFERROR(FATTENING!AB29+FATTENING!AB30+FATTENING!AB31+FATTENING!AB33,"")</f>
        <v/>
      </c>
      <c r="AC13" s="140">
        <f>IFERROR(FATTENING!AC29+FATTENING!AC30+FATTENING!AC31+FATTENING!AC33,"")</f>
        <v/>
      </c>
      <c r="AD13" s="140">
        <f>IFERROR(FATTENING!AD29+FATTENING!AD30+FATTENING!AD31+FATTENING!AD33,"")</f>
        <v/>
      </c>
      <c r="AE13" s="140">
        <f>IFERROR(FATTENING!AE29+FATTENING!AE30+FATTENING!AE31+FATTENING!AE33,"")</f>
        <v/>
      </c>
      <c r="AF13" s="140">
        <f>IFERROR(FATTENING!AF29+FATTENING!AF30+FATTENING!AF31+FATTENING!AF33,"")</f>
        <v/>
      </c>
      <c r="AG13" s="140">
        <f>IFERROR(FATTENING!AG29+FATTENING!AG30+FATTENING!AG31+FATTENING!AG33,"")</f>
        <v/>
      </c>
      <c r="AH13" s="140">
        <f>IFERROR(FATTENING!AH29+FATTENING!AH30+FATTENING!AH31+FATTENING!AH33,"")</f>
        <v/>
      </c>
      <c r="AI13" s="140">
        <f>IFERROR(FATTENING!AI29+FATTENING!AI30+FATTENING!AI31+FATTENING!AI33,"")</f>
        <v/>
      </c>
      <c r="AJ13" s="140">
        <f>IFERROR(FATTENING!AJ29+FATTENING!AJ30+FATTENING!AJ31+FATTENING!AJ33,"")</f>
        <v/>
      </c>
      <c r="AK13" s="140">
        <f>IFERROR(FATTENING!AK29+FATTENING!AK30+FATTENING!AK31+FATTENING!AK33,"")</f>
        <v/>
      </c>
    </row>
    <row r="14" ht="16" customHeight="1" s="239">
      <c r="A14" s="241" t="inlineStr">
        <is>
          <t>Logistics Costs</t>
        </is>
      </c>
      <c r="B14" s="140">
        <f>IFERROR(LOGISTICS!B10/12,"")</f>
        <v/>
      </c>
      <c r="C14" s="140">
        <f>IFERROR(LOGISTICS!B10/12,"")</f>
        <v/>
      </c>
      <c r="D14" s="140">
        <f>IFERROR(LOGISTICS!B10/12,"")</f>
        <v/>
      </c>
      <c r="E14" s="140">
        <f>IFERROR(LOGISTICS!B10/12,"")</f>
        <v/>
      </c>
      <c r="F14" s="140">
        <f>IFERROR(LOGISTICS!B10/12,"")</f>
        <v/>
      </c>
      <c r="G14" s="140">
        <f>IFERROR(LOGISTICS!B10/12,"")</f>
        <v/>
      </c>
      <c r="H14" s="140">
        <f>IFERROR(LOGISTICS!B10/12,"")</f>
        <v/>
      </c>
      <c r="I14" s="140">
        <f>IFERROR(LOGISTICS!B10/12,"")</f>
        <v/>
      </c>
      <c r="J14" s="140">
        <f>IFERROR(LOGISTICS!B10/12,"")</f>
        <v/>
      </c>
      <c r="K14" s="140">
        <f>IFERROR(LOGISTICS!B10/12,"")</f>
        <v/>
      </c>
      <c r="L14" s="140">
        <f>IFERROR(LOGISTICS!B10/12,"")</f>
        <v/>
      </c>
      <c r="M14" s="140">
        <f>IFERROR(LOGISTICS!B10/12,"")</f>
        <v/>
      </c>
      <c r="N14" s="140">
        <f>IFERROR(LOGISTICS!C10/12,"")</f>
        <v/>
      </c>
      <c r="O14" s="140">
        <f>IFERROR(LOGISTICS!C10/12,"")</f>
        <v/>
      </c>
      <c r="P14" s="140">
        <f>IFERROR(LOGISTICS!C10/12,"")</f>
        <v/>
      </c>
      <c r="Q14" s="140">
        <f>IFERROR(LOGISTICS!C10/12,"")</f>
        <v/>
      </c>
      <c r="R14" s="140">
        <f>IFERROR(LOGISTICS!C10/12,"")</f>
        <v/>
      </c>
      <c r="S14" s="140">
        <f>IFERROR(LOGISTICS!C10/12,"")</f>
        <v/>
      </c>
      <c r="T14" s="140">
        <f>IFERROR(LOGISTICS!C10/12,"")</f>
        <v/>
      </c>
      <c r="U14" s="140">
        <f>IFERROR(LOGISTICS!C10/12,"")</f>
        <v/>
      </c>
      <c r="V14" s="140">
        <f>IFERROR(LOGISTICS!C10/12,"")</f>
        <v/>
      </c>
      <c r="W14" s="140">
        <f>IFERROR(LOGISTICS!C10/12,"")</f>
        <v/>
      </c>
      <c r="X14" s="140">
        <f>IFERROR(LOGISTICS!C10/12,"")</f>
        <v/>
      </c>
      <c r="Y14" s="140">
        <f>IFERROR(LOGISTICS!C10/12,"")</f>
        <v/>
      </c>
      <c r="Z14" s="140">
        <f>IFERROR(LOGISTICS!D10/12,"")</f>
        <v/>
      </c>
      <c r="AA14" s="140">
        <f>IFERROR(LOGISTICS!D10/12,"")</f>
        <v/>
      </c>
      <c r="AB14" s="140">
        <f>IFERROR(LOGISTICS!D10/12,"")</f>
        <v/>
      </c>
      <c r="AC14" s="140">
        <f>IFERROR(LOGISTICS!D10/12,"")</f>
        <v/>
      </c>
      <c r="AD14" s="140">
        <f>IFERROR(LOGISTICS!D10/12,"")</f>
        <v/>
      </c>
      <c r="AE14" s="140">
        <f>IFERROR(LOGISTICS!D10/12,"")</f>
        <v/>
      </c>
      <c r="AF14" s="140">
        <f>IFERROR(LOGISTICS!D10/12,"")</f>
        <v/>
      </c>
      <c r="AG14" s="140">
        <f>IFERROR(LOGISTICS!D10/12,"")</f>
        <v/>
      </c>
      <c r="AH14" s="140">
        <f>IFERROR(LOGISTICS!D10/12,"")</f>
        <v/>
      </c>
      <c r="AI14" s="140">
        <f>IFERROR(LOGISTICS!D10/12,"")</f>
        <v/>
      </c>
      <c r="AJ14" s="140">
        <f>IFERROR(LOGISTICS!D10/12,"")</f>
        <v/>
      </c>
      <c r="AK14" s="140">
        <f>IFERROR(LOGISTICS!D10/12,"")</f>
        <v/>
      </c>
    </row>
    <row r="15" ht="16" customHeight="1" s="239">
      <c r="A15" s="241" t="inlineStr">
        <is>
          <t>Corporate OPEX</t>
        </is>
      </c>
      <c r="B15" s="140">
        <f>IFERROR(OPEX!B31/12,"")</f>
        <v/>
      </c>
      <c r="C15" s="140">
        <f>IFERROR(OPEX!B31/12,"")</f>
        <v/>
      </c>
      <c r="D15" s="140">
        <f>IFERROR(OPEX!B31/12,"")</f>
        <v/>
      </c>
      <c r="E15" s="140">
        <f>IFERROR(OPEX!B31/12,"")</f>
        <v/>
      </c>
      <c r="F15" s="140">
        <f>IFERROR(OPEX!B31/12,"")</f>
        <v/>
      </c>
      <c r="G15" s="140">
        <f>IFERROR(OPEX!B31/12,"")</f>
        <v/>
      </c>
      <c r="H15" s="140">
        <f>IFERROR(OPEX!B31/12,"")</f>
        <v/>
      </c>
      <c r="I15" s="140">
        <f>IFERROR(OPEX!B31/12,"")</f>
        <v/>
      </c>
      <c r="J15" s="140">
        <f>IFERROR(OPEX!B31/12,"")</f>
        <v/>
      </c>
      <c r="K15" s="140">
        <f>IFERROR(OPEX!B31/12,"")</f>
        <v/>
      </c>
      <c r="L15" s="140">
        <f>IFERROR(OPEX!B31/12,"")</f>
        <v/>
      </c>
      <c r="M15" s="140">
        <f>IFERROR(OPEX!B31/12,"")</f>
        <v/>
      </c>
      <c r="N15" s="140">
        <f>IFERROR(OPEX!C31/12,"")</f>
        <v/>
      </c>
      <c r="O15" s="140">
        <f>IFERROR(OPEX!C31/12,"")</f>
        <v/>
      </c>
      <c r="P15" s="140">
        <f>IFERROR(OPEX!C31/12,"")</f>
        <v/>
      </c>
      <c r="Q15" s="140">
        <f>IFERROR(OPEX!C31/12,"")</f>
        <v/>
      </c>
      <c r="R15" s="140">
        <f>IFERROR(OPEX!C31/12,"")</f>
        <v/>
      </c>
      <c r="S15" s="140">
        <f>IFERROR(OPEX!C31/12,"")</f>
        <v/>
      </c>
      <c r="T15" s="140">
        <f>IFERROR(OPEX!C31/12,"")</f>
        <v/>
      </c>
      <c r="U15" s="140">
        <f>IFERROR(OPEX!C31/12,"")</f>
        <v/>
      </c>
      <c r="V15" s="140">
        <f>IFERROR(OPEX!C31/12,"")</f>
        <v/>
      </c>
      <c r="W15" s="140">
        <f>IFERROR(OPEX!C31/12,"")</f>
        <v/>
      </c>
      <c r="X15" s="140">
        <f>IFERROR(OPEX!C31/12,"")</f>
        <v/>
      </c>
      <c r="Y15" s="140">
        <f>IFERROR(OPEX!C31/12,"")</f>
        <v/>
      </c>
      <c r="Z15" s="140">
        <f>IFERROR(OPEX!D31/12,"")</f>
        <v/>
      </c>
      <c r="AA15" s="140">
        <f>IFERROR(OPEX!D31/12,"")</f>
        <v/>
      </c>
      <c r="AB15" s="140">
        <f>IFERROR(OPEX!D31/12,"")</f>
        <v/>
      </c>
      <c r="AC15" s="140">
        <f>IFERROR(OPEX!D31/12,"")</f>
        <v/>
      </c>
      <c r="AD15" s="140">
        <f>IFERROR(OPEX!D31/12,"")</f>
        <v/>
      </c>
      <c r="AE15" s="140">
        <f>IFERROR(OPEX!D31/12,"")</f>
        <v/>
      </c>
      <c r="AF15" s="140">
        <f>IFERROR(OPEX!D31/12,"")</f>
        <v/>
      </c>
      <c r="AG15" s="140">
        <f>IFERROR(OPEX!D31/12,"")</f>
        <v/>
      </c>
      <c r="AH15" s="140">
        <f>IFERROR(OPEX!D31/12,"")</f>
        <v/>
      </c>
      <c r="AI15" s="140">
        <f>IFERROR(OPEX!D31/12,"")</f>
        <v/>
      </c>
      <c r="AJ15" s="140">
        <f>IFERROR(OPEX!D31/12,"")</f>
        <v/>
      </c>
      <c r="AK15" s="140">
        <f>IFERROR(OPEX!D31/12,"")</f>
        <v/>
      </c>
    </row>
    <row r="16" ht="16" customHeight="1" s="239">
      <c r="A16" s="241" t="inlineStr">
        <is>
          <t>Taxes</t>
        </is>
      </c>
      <c r="B16" s="140">
        <f>IFERROR(PNL!B13/12,"")</f>
        <v/>
      </c>
      <c r="C16" s="140">
        <f>IFERROR(PNL!B13/12,"")</f>
        <v/>
      </c>
      <c r="D16" s="140">
        <f>IFERROR(PNL!B13/12,"")</f>
        <v/>
      </c>
      <c r="E16" s="140">
        <f>IFERROR(PNL!B13/12,"")</f>
        <v/>
      </c>
      <c r="F16" s="140">
        <f>IFERROR(PNL!B13/12,"")</f>
        <v/>
      </c>
      <c r="G16" s="140">
        <f>IFERROR(PNL!B13/12,"")</f>
        <v/>
      </c>
      <c r="H16" s="140">
        <f>IFERROR(PNL!B13/12,"")</f>
        <v/>
      </c>
      <c r="I16" s="140">
        <f>IFERROR(PNL!B13/12,"")</f>
        <v/>
      </c>
      <c r="J16" s="140">
        <f>IFERROR(PNL!B13/12,"")</f>
        <v/>
      </c>
      <c r="K16" s="140">
        <f>IFERROR(PNL!B13/12,"")</f>
        <v/>
      </c>
      <c r="L16" s="140">
        <f>IFERROR(PNL!B13/12,"")</f>
        <v/>
      </c>
      <c r="M16" s="140">
        <f>IFERROR(PNL!B13/12,"")</f>
        <v/>
      </c>
      <c r="N16" s="140">
        <f>IFERROR(PNL!C13/12,"")</f>
        <v/>
      </c>
      <c r="O16" s="140">
        <f>IFERROR(PNL!C13/12,"")</f>
        <v/>
      </c>
      <c r="P16" s="140">
        <f>IFERROR(PNL!C13/12,"")</f>
        <v/>
      </c>
      <c r="Q16" s="140">
        <f>IFERROR(PNL!C13/12,"")</f>
        <v/>
      </c>
      <c r="R16" s="140">
        <f>IFERROR(PNL!C13/12,"")</f>
        <v/>
      </c>
      <c r="S16" s="140">
        <f>IFERROR(PNL!C13/12,"")</f>
        <v/>
      </c>
      <c r="T16" s="140">
        <f>IFERROR(PNL!C13/12,"")</f>
        <v/>
      </c>
      <c r="U16" s="140">
        <f>IFERROR(PNL!C13/12,"")</f>
        <v/>
      </c>
      <c r="V16" s="140">
        <f>IFERROR(PNL!C13/12,"")</f>
        <v/>
      </c>
      <c r="W16" s="140">
        <f>IFERROR(PNL!C13/12,"")</f>
        <v/>
      </c>
      <c r="X16" s="140">
        <f>IFERROR(PNL!C13/12,"")</f>
        <v/>
      </c>
      <c r="Y16" s="140">
        <f>IFERROR(PNL!C13/12,"")</f>
        <v/>
      </c>
      <c r="Z16" s="140">
        <f>IFERROR(PNL!D13/12,"")</f>
        <v/>
      </c>
      <c r="AA16" s="140">
        <f>IFERROR(PNL!D13/12,"")</f>
        <v/>
      </c>
      <c r="AB16" s="140">
        <f>IFERROR(PNL!D13/12,"")</f>
        <v/>
      </c>
      <c r="AC16" s="140">
        <f>IFERROR(PNL!D13/12,"")</f>
        <v/>
      </c>
      <c r="AD16" s="140">
        <f>IFERROR(PNL!D13/12,"")</f>
        <v/>
      </c>
      <c r="AE16" s="140">
        <f>IFERROR(PNL!D13/12,"")</f>
        <v/>
      </c>
      <c r="AF16" s="140">
        <f>IFERROR(PNL!D13/12,"")</f>
        <v/>
      </c>
      <c r="AG16" s="140">
        <f>IFERROR(PNL!D13/12,"")</f>
        <v/>
      </c>
      <c r="AH16" s="140">
        <f>IFERROR(PNL!D13/12,"")</f>
        <v/>
      </c>
      <c r="AI16" s="140">
        <f>IFERROR(PNL!D13/12,"")</f>
        <v/>
      </c>
      <c r="AJ16" s="140">
        <f>IFERROR(PNL!D13/12,"")</f>
        <v/>
      </c>
      <c r="AK16" s="140">
        <f>IFERROR(PNL!D13/12,"")</f>
        <v/>
      </c>
    </row>
    <row r="17" ht="16" customHeight="1" s="239">
      <c r="A17" s="241" t="inlineStr">
        <is>
          <t>Working Capital Movement</t>
        </is>
      </c>
      <c r="B17" s="140">
        <f>IFERROR(WORKING_CAPITAL!B8/12,"")</f>
        <v/>
      </c>
      <c r="C17" s="140">
        <f>IFERROR(WORKING_CAPITAL!B8/12,"")</f>
        <v/>
      </c>
      <c r="D17" s="140">
        <f>IFERROR(WORKING_CAPITAL!B8/12,"")</f>
        <v/>
      </c>
      <c r="E17" s="140">
        <f>IFERROR(WORKING_CAPITAL!B8/12,"")</f>
        <v/>
      </c>
      <c r="F17" s="140">
        <f>IFERROR(WORKING_CAPITAL!B8/12,"")</f>
        <v/>
      </c>
      <c r="G17" s="140">
        <f>IFERROR(WORKING_CAPITAL!B8/12,"")</f>
        <v/>
      </c>
      <c r="H17" s="140">
        <f>IFERROR(WORKING_CAPITAL!B8/12,"")</f>
        <v/>
      </c>
      <c r="I17" s="140">
        <f>IFERROR(WORKING_CAPITAL!B8/12,"")</f>
        <v/>
      </c>
      <c r="J17" s="140">
        <f>IFERROR(WORKING_CAPITAL!B8/12,"")</f>
        <v/>
      </c>
      <c r="K17" s="140">
        <f>IFERROR(WORKING_CAPITAL!B8/12,"")</f>
        <v/>
      </c>
      <c r="L17" s="140">
        <f>IFERROR(WORKING_CAPITAL!B8/12,"")</f>
        <v/>
      </c>
      <c r="M17" s="140">
        <f>IFERROR(WORKING_CAPITAL!B8/12,"")</f>
        <v/>
      </c>
      <c r="N17" s="140">
        <f>IFERROR(WORKING_CAPITAL!C8/12,"")</f>
        <v/>
      </c>
      <c r="O17" s="140">
        <f>IFERROR(WORKING_CAPITAL!C8/12,"")</f>
        <v/>
      </c>
      <c r="P17" s="140">
        <f>IFERROR(WORKING_CAPITAL!C8/12,"")</f>
        <v/>
      </c>
      <c r="Q17" s="140">
        <f>IFERROR(WORKING_CAPITAL!C8/12,"")</f>
        <v/>
      </c>
      <c r="R17" s="140">
        <f>IFERROR(WORKING_CAPITAL!C8/12,"")</f>
        <v/>
      </c>
      <c r="S17" s="140">
        <f>IFERROR(WORKING_CAPITAL!C8/12,"")</f>
        <v/>
      </c>
      <c r="T17" s="140">
        <f>IFERROR(WORKING_CAPITAL!C8/12,"")</f>
        <v/>
      </c>
      <c r="U17" s="140">
        <f>IFERROR(WORKING_CAPITAL!C8/12,"")</f>
        <v/>
      </c>
      <c r="V17" s="140">
        <f>IFERROR(WORKING_CAPITAL!C8/12,"")</f>
        <v/>
      </c>
      <c r="W17" s="140">
        <f>IFERROR(WORKING_CAPITAL!C8/12,"")</f>
        <v/>
      </c>
      <c r="X17" s="140">
        <f>IFERROR(WORKING_CAPITAL!C8/12,"")</f>
        <v/>
      </c>
      <c r="Y17" s="140">
        <f>IFERROR(WORKING_CAPITAL!C8/12,"")</f>
        <v/>
      </c>
      <c r="Z17" s="140">
        <f>IFERROR(WORKING_CAPITAL!D8/12,"")</f>
        <v/>
      </c>
      <c r="AA17" s="140">
        <f>IFERROR(WORKING_CAPITAL!D8/12,"")</f>
        <v/>
      </c>
      <c r="AB17" s="140">
        <f>IFERROR(WORKING_CAPITAL!D8/12,"")</f>
        <v/>
      </c>
      <c r="AC17" s="140">
        <f>IFERROR(WORKING_CAPITAL!D8/12,"")</f>
        <v/>
      </c>
      <c r="AD17" s="140">
        <f>IFERROR(WORKING_CAPITAL!D8/12,"")</f>
        <v/>
      </c>
      <c r="AE17" s="140">
        <f>IFERROR(WORKING_CAPITAL!D8/12,"")</f>
        <v/>
      </c>
      <c r="AF17" s="140">
        <f>IFERROR(WORKING_CAPITAL!D8/12,"")</f>
        <v/>
      </c>
      <c r="AG17" s="140">
        <f>IFERROR(WORKING_CAPITAL!D8/12,"")</f>
        <v/>
      </c>
      <c r="AH17" s="140">
        <f>IFERROR(WORKING_CAPITAL!D8/12,"")</f>
        <v/>
      </c>
      <c r="AI17" s="140">
        <f>IFERROR(WORKING_CAPITAL!D8/12,"")</f>
        <v/>
      </c>
      <c r="AJ17" s="140">
        <f>IFERROR(WORKING_CAPITAL!D8/12,"")</f>
        <v/>
      </c>
      <c r="AK17" s="140">
        <f>IFERROR(WORKING_CAPITAL!D8/12,"")</f>
        <v/>
      </c>
    </row>
    <row r="18" ht="16" customHeight="1" s="239">
      <c r="A18" s="151" t="inlineStr">
        <is>
          <t>Total Operating Outflows</t>
        </is>
      </c>
      <c r="B18" s="152">
        <f>IFERROR(SUM(B11:B17),"")</f>
        <v/>
      </c>
      <c r="C18" s="152">
        <f>IFERROR(SUM(C11:C17),"")</f>
        <v/>
      </c>
      <c r="D18" s="152">
        <f>IFERROR(SUM(D11:D17),"")</f>
        <v/>
      </c>
      <c r="E18" s="152">
        <f>IFERROR(SUM(E11:E17),"")</f>
        <v/>
      </c>
      <c r="F18" s="152">
        <f>IFERROR(SUM(F11:F17),"")</f>
        <v/>
      </c>
      <c r="G18" s="152">
        <f>IFERROR(SUM(G11:G17),"")</f>
        <v/>
      </c>
      <c r="H18" s="152">
        <f>IFERROR(SUM(H11:H17),"")</f>
        <v/>
      </c>
      <c r="I18" s="152">
        <f>IFERROR(SUM(I11:I17),"")</f>
        <v/>
      </c>
      <c r="J18" s="152">
        <f>IFERROR(SUM(J11:J17),"")</f>
        <v/>
      </c>
      <c r="K18" s="152">
        <f>IFERROR(SUM(K11:K17),"")</f>
        <v/>
      </c>
      <c r="L18" s="152">
        <f>IFERROR(SUM(L11:L17),"")</f>
        <v/>
      </c>
      <c r="M18" s="152">
        <f>IFERROR(SUM(M11:M17),"")</f>
        <v/>
      </c>
      <c r="N18" s="152">
        <f>IFERROR(SUM(N11:N17),"")</f>
        <v/>
      </c>
      <c r="O18" s="152">
        <f>IFERROR(SUM(O11:O17),"")</f>
        <v/>
      </c>
      <c r="P18" s="152">
        <f>IFERROR(SUM(P11:P17),"")</f>
        <v/>
      </c>
      <c r="Q18" s="152">
        <f>IFERROR(SUM(Q11:Q17),"")</f>
        <v/>
      </c>
      <c r="R18" s="152">
        <f>IFERROR(SUM(R11:R17),"")</f>
        <v/>
      </c>
      <c r="S18" s="152">
        <f>IFERROR(SUM(S11:S17),"")</f>
        <v/>
      </c>
      <c r="T18" s="152">
        <f>IFERROR(SUM(T11:T17),"")</f>
        <v/>
      </c>
      <c r="U18" s="152">
        <f>IFERROR(SUM(U11:U17),"")</f>
        <v/>
      </c>
      <c r="V18" s="152">
        <f>IFERROR(SUM(V11:V17),"")</f>
        <v/>
      </c>
      <c r="W18" s="152">
        <f>IFERROR(SUM(W11:W17),"")</f>
        <v/>
      </c>
      <c r="X18" s="152">
        <f>IFERROR(SUM(X11:X17),"")</f>
        <v/>
      </c>
      <c r="Y18" s="152">
        <f>IFERROR(SUM(Y11:Y17),"")</f>
        <v/>
      </c>
      <c r="Z18" s="152">
        <f>IFERROR(SUM(Z11:Z17),"")</f>
        <v/>
      </c>
      <c r="AA18" s="152">
        <f>IFERROR(SUM(AA11:AA17),"")</f>
        <v/>
      </c>
      <c r="AB18" s="152">
        <f>IFERROR(SUM(AB11:AB17),"")</f>
        <v/>
      </c>
      <c r="AC18" s="152">
        <f>IFERROR(SUM(AC11:AC17),"")</f>
        <v/>
      </c>
      <c r="AD18" s="152">
        <f>IFERROR(SUM(AD11:AD17),"")</f>
        <v/>
      </c>
      <c r="AE18" s="152">
        <f>IFERROR(SUM(AE11:AE17),"")</f>
        <v/>
      </c>
      <c r="AF18" s="152">
        <f>IFERROR(SUM(AF11:AF17),"")</f>
        <v/>
      </c>
      <c r="AG18" s="152">
        <f>IFERROR(SUM(AG11:AG17),"")</f>
        <v/>
      </c>
      <c r="AH18" s="152">
        <f>IFERROR(SUM(AH11:AH17),"")</f>
        <v/>
      </c>
      <c r="AI18" s="152">
        <f>IFERROR(SUM(AI11:AI17),"")</f>
        <v/>
      </c>
      <c r="AJ18" s="152">
        <f>IFERROR(SUM(AJ11:AJ17),"")</f>
        <v/>
      </c>
      <c r="AK18" s="152">
        <f>IFERROR(SUM(AK11:AK17),"")</f>
        <v/>
      </c>
    </row>
    <row r="19" ht="16" customHeight="1" s="239">
      <c r="A19" s="151" t="inlineStr">
        <is>
          <t>Operating Cash Flow</t>
        </is>
      </c>
      <c r="B19" s="152">
        <f>IFERROR(B10-B18,"")</f>
        <v/>
      </c>
      <c r="C19" s="152">
        <f>IFERROR(C10-C18,"")</f>
        <v/>
      </c>
      <c r="D19" s="152">
        <f>IFERROR(D10-D18,"")</f>
        <v/>
      </c>
      <c r="E19" s="152">
        <f>IFERROR(E10-E18,"")</f>
        <v/>
      </c>
      <c r="F19" s="152">
        <f>IFERROR(F10-F18,"")</f>
        <v/>
      </c>
      <c r="G19" s="152">
        <f>IFERROR(G10-G18,"")</f>
        <v/>
      </c>
      <c r="H19" s="152">
        <f>IFERROR(H10-H18,"")</f>
        <v/>
      </c>
      <c r="I19" s="152">
        <f>IFERROR(I10-I18,"")</f>
        <v/>
      </c>
      <c r="J19" s="152">
        <f>IFERROR(J10-J18,"")</f>
        <v/>
      </c>
      <c r="K19" s="152">
        <f>IFERROR(K10-K18,"")</f>
        <v/>
      </c>
      <c r="L19" s="152">
        <f>IFERROR(L10-L18,"")</f>
        <v/>
      </c>
      <c r="M19" s="152">
        <f>IFERROR(M10-M18,"")</f>
        <v/>
      </c>
      <c r="N19" s="152">
        <f>IFERROR(N10-N18,"")</f>
        <v/>
      </c>
      <c r="O19" s="152">
        <f>IFERROR(O10-O18,"")</f>
        <v/>
      </c>
      <c r="P19" s="152">
        <f>IFERROR(P10-P18,"")</f>
        <v/>
      </c>
      <c r="Q19" s="152">
        <f>IFERROR(Q10-Q18,"")</f>
        <v/>
      </c>
      <c r="R19" s="152">
        <f>IFERROR(R10-R18,"")</f>
        <v/>
      </c>
      <c r="S19" s="152">
        <f>IFERROR(S10-S18,"")</f>
        <v/>
      </c>
      <c r="T19" s="152">
        <f>IFERROR(T10-T18,"")</f>
        <v/>
      </c>
      <c r="U19" s="152">
        <f>IFERROR(U10-U18,"")</f>
        <v/>
      </c>
      <c r="V19" s="152">
        <f>IFERROR(V10-V18,"")</f>
        <v/>
      </c>
      <c r="W19" s="152">
        <f>IFERROR(W10-W18,"")</f>
        <v/>
      </c>
      <c r="X19" s="152">
        <f>IFERROR(X10-X18,"")</f>
        <v/>
      </c>
      <c r="Y19" s="152">
        <f>IFERROR(Y10-Y18,"")</f>
        <v/>
      </c>
      <c r="Z19" s="152">
        <f>IFERROR(Z10-Z18,"")</f>
        <v/>
      </c>
      <c r="AA19" s="152">
        <f>IFERROR(AA10-AA18,"")</f>
        <v/>
      </c>
      <c r="AB19" s="152">
        <f>IFERROR(AB10-AB18,"")</f>
        <v/>
      </c>
      <c r="AC19" s="152">
        <f>IFERROR(AC10-AC18,"")</f>
        <v/>
      </c>
      <c r="AD19" s="152">
        <f>IFERROR(AD10-AD18,"")</f>
        <v/>
      </c>
      <c r="AE19" s="152">
        <f>IFERROR(AE10-AE18,"")</f>
        <v/>
      </c>
      <c r="AF19" s="152">
        <f>IFERROR(AF10-AF18,"")</f>
        <v/>
      </c>
      <c r="AG19" s="152">
        <f>IFERROR(AG10-AG18,"")</f>
        <v/>
      </c>
      <c r="AH19" s="152">
        <f>IFERROR(AH10-AH18,"")</f>
        <v/>
      </c>
      <c r="AI19" s="152">
        <f>IFERROR(AI10-AI18,"")</f>
        <v/>
      </c>
      <c r="AJ19" s="152">
        <f>IFERROR(AJ10-AJ18,"")</f>
        <v/>
      </c>
      <c r="AK19" s="152">
        <f>IFERROR(AK10-AK18,"")</f>
        <v/>
      </c>
    </row>
    <row r="20" ht="16" customHeight="1" s="239">
      <c r="A20" s="241" t="inlineStr">
        <is>
          <t>CAPEX</t>
        </is>
      </c>
      <c r="B20" s="140">
        <f>IFERROR(PNL!B23/12,"")</f>
        <v/>
      </c>
      <c r="C20" s="140">
        <f>IFERROR(PNL!B23/12,"")</f>
        <v/>
      </c>
      <c r="D20" s="140">
        <f>IFERROR(PNL!B23/12,"")</f>
        <v/>
      </c>
      <c r="E20" s="140">
        <f>IFERROR(PNL!B23/12,"")</f>
        <v/>
      </c>
      <c r="F20" s="140">
        <f>IFERROR(PNL!B23/12,"")</f>
        <v/>
      </c>
      <c r="G20" s="140">
        <f>IFERROR(PNL!B23/12,"")</f>
        <v/>
      </c>
      <c r="H20" s="140">
        <f>IFERROR(PNL!B23/12,"")</f>
        <v/>
      </c>
      <c r="I20" s="140">
        <f>IFERROR(PNL!B23/12,"")</f>
        <v/>
      </c>
      <c r="J20" s="140">
        <f>IFERROR(PNL!B23/12,"")</f>
        <v/>
      </c>
      <c r="K20" s="140">
        <f>IFERROR(PNL!B23/12,"")</f>
        <v/>
      </c>
      <c r="L20" s="140">
        <f>IFERROR(PNL!B23/12,"")</f>
        <v/>
      </c>
      <c r="M20" s="140">
        <f>IFERROR(PNL!B23/12,"")</f>
        <v/>
      </c>
      <c r="N20" s="140">
        <f>IFERROR(PNL!C23/12,"")</f>
        <v/>
      </c>
      <c r="O20" s="140">
        <f>IFERROR(PNL!C23/12,"")</f>
        <v/>
      </c>
      <c r="P20" s="140">
        <f>IFERROR(PNL!C23/12,"")</f>
        <v/>
      </c>
      <c r="Q20" s="140">
        <f>IFERROR(PNL!C23/12,"")</f>
        <v/>
      </c>
      <c r="R20" s="140">
        <f>IFERROR(PNL!C23/12,"")</f>
        <v/>
      </c>
      <c r="S20" s="140">
        <f>IFERROR(PNL!C23/12,"")</f>
        <v/>
      </c>
      <c r="T20" s="140">
        <f>IFERROR(PNL!C23/12,"")</f>
        <v/>
      </c>
      <c r="U20" s="140">
        <f>IFERROR(PNL!C23/12,"")</f>
        <v/>
      </c>
      <c r="V20" s="140">
        <f>IFERROR(PNL!C23/12,"")</f>
        <v/>
      </c>
      <c r="W20" s="140">
        <f>IFERROR(PNL!C23/12,"")</f>
        <v/>
      </c>
      <c r="X20" s="140">
        <f>IFERROR(PNL!C23/12,"")</f>
        <v/>
      </c>
      <c r="Y20" s="140">
        <f>IFERROR(PNL!C23/12,"")</f>
        <v/>
      </c>
      <c r="Z20" s="140">
        <f>IFERROR(PNL!D23/12,"")</f>
        <v/>
      </c>
      <c r="AA20" s="140">
        <f>IFERROR(PNL!D23/12,"")</f>
        <v/>
      </c>
      <c r="AB20" s="140">
        <f>IFERROR(PNL!D23/12,"")</f>
        <v/>
      </c>
      <c r="AC20" s="140">
        <f>IFERROR(PNL!D23/12,"")</f>
        <v/>
      </c>
      <c r="AD20" s="140">
        <f>IFERROR(PNL!D23/12,"")</f>
        <v/>
      </c>
      <c r="AE20" s="140">
        <f>IFERROR(PNL!D23/12,"")</f>
        <v/>
      </c>
      <c r="AF20" s="140">
        <f>IFERROR(PNL!D23/12,"")</f>
        <v/>
      </c>
      <c r="AG20" s="140">
        <f>IFERROR(PNL!D23/12,"")</f>
        <v/>
      </c>
      <c r="AH20" s="140">
        <f>IFERROR(PNL!D23/12,"")</f>
        <v/>
      </c>
      <c r="AI20" s="140">
        <f>IFERROR(PNL!D23/12,"")</f>
        <v/>
      </c>
      <c r="AJ20" s="140">
        <f>IFERROR(PNL!D23/12,"")</f>
        <v/>
      </c>
      <c r="AK20" s="140">
        <f>IFERROR(PNL!D23/12,"")</f>
        <v/>
      </c>
    </row>
    <row r="21" ht="16" customHeight="1" s="239">
      <c r="A21" s="241" t="inlineStr">
        <is>
          <t>Debt Drawdown</t>
        </is>
      </c>
      <c r="B21" s="140">
        <f>IFERROR(IF(1=1,ASSUMPTIONS!$B$5,0),"")</f>
        <v/>
      </c>
      <c r="C21" s="140">
        <f>IFERROR(IF(2=1,ASSUMPTIONS!$B$5,0),"")</f>
        <v/>
      </c>
      <c r="D21" s="140">
        <f>IFERROR(IF(3=1,ASSUMPTIONS!$B$5,0),"")</f>
        <v/>
      </c>
      <c r="E21" s="140">
        <f>IFERROR(IF(4=1,ASSUMPTIONS!$B$5,0),"")</f>
        <v/>
      </c>
      <c r="F21" s="140">
        <f>IFERROR(IF(5=1,ASSUMPTIONS!$B$5,0),"")</f>
        <v/>
      </c>
      <c r="G21" s="140">
        <f>IFERROR(IF(6=1,ASSUMPTIONS!$B$5,0),"")</f>
        <v/>
      </c>
      <c r="H21" s="140">
        <f>IFERROR(IF(7=1,ASSUMPTIONS!$B$5,0),"")</f>
        <v/>
      </c>
      <c r="I21" s="140">
        <f>IFERROR(IF(8=1,ASSUMPTIONS!$B$5,0),"")</f>
        <v/>
      </c>
      <c r="J21" s="140">
        <f>IFERROR(IF(9=1,ASSUMPTIONS!$B$5,0),"")</f>
        <v/>
      </c>
      <c r="K21" s="140">
        <f>IFERROR(IF(10=1,ASSUMPTIONS!$B$5,0),"")</f>
        <v/>
      </c>
      <c r="L21" s="140">
        <f>IFERROR(IF(11=1,ASSUMPTIONS!$B$5,0),"")</f>
        <v/>
      </c>
      <c r="M21" s="140">
        <f>IFERROR(IF(12=1,ASSUMPTIONS!$B$5,0),"")</f>
        <v/>
      </c>
      <c r="N21" s="140">
        <f>IFERROR(IF(13=1,ASSUMPTIONS!$B$5,0),"")</f>
        <v/>
      </c>
      <c r="O21" s="140">
        <f>IFERROR(IF(14=1,ASSUMPTIONS!$B$5,0),"")</f>
        <v/>
      </c>
      <c r="P21" s="140">
        <f>IFERROR(IF(15=1,ASSUMPTIONS!$B$5,0),"")</f>
        <v/>
      </c>
      <c r="Q21" s="140">
        <f>IFERROR(IF(16=1,ASSUMPTIONS!$B$5,0),"")</f>
        <v/>
      </c>
      <c r="R21" s="140">
        <f>IFERROR(IF(17=1,ASSUMPTIONS!$B$5,0),"")</f>
        <v/>
      </c>
      <c r="S21" s="140">
        <f>IFERROR(IF(18=1,ASSUMPTIONS!$B$5,0),"")</f>
        <v/>
      </c>
      <c r="T21" s="140">
        <f>IFERROR(IF(19=1,ASSUMPTIONS!$B$5,0),"")</f>
        <v/>
      </c>
      <c r="U21" s="140">
        <f>IFERROR(IF(20=1,ASSUMPTIONS!$B$5,0),"")</f>
        <v/>
      </c>
      <c r="V21" s="140">
        <f>IFERROR(IF(21=1,ASSUMPTIONS!$B$5,0),"")</f>
        <v/>
      </c>
      <c r="W21" s="140">
        <f>IFERROR(IF(22=1,ASSUMPTIONS!$B$5,0),"")</f>
        <v/>
      </c>
      <c r="X21" s="140">
        <f>IFERROR(IF(23=1,ASSUMPTIONS!$B$5,0),"")</f>
        <v/>
      </c>
      <c r="Y21" s="140">
        <f>IFERROR(IF(24=1,ASSUMPTIONS!$B$5,0),"")</f>
        <v/>
      </c>
      <c r="Z21" s="140">
        <f>IFERROR(IF(25=1,ASSUMPTIONS!$B$5,0),"")</f>
        <v/>
      </c>
      <c r="AA21" s="140">
        <f>IFERROR(IF(26=1,ASSUMPTIONS!$B$5,0),"")</f>
        <v/>
      </c>
      <c r="AB21" s="140">
        <f>IFERROR(IF(27=1,ASSUMPTIONS!$B$5,0),"")</f>
        <v/>
      </c>
      <c r="AC21" s="140">
        <f>IFERROR(IF(28=1,ASSUMPTIONS!$B$5,0),"")</f>
        <v/>
      </c>
      <c r="AD21" s="140">
        <f>IFERROR(IF(29=1,ASSUMPTIONS!$B$5,0),"")</f>
        <v/>
      </c>
      <c r="AE21" s="140">
        <f>IFERROR(IF(30=1,ASSUMPTIONS!$B$5,0),"")</f>
        <v/>
      </c>
      <c r="AF21" s="140">
        <f>IFERROR(IF(31=1,ASSUMPTIONS!$B$5,0),"")</f>
        <v/>
      </c>
      <c r="AG21" s="140">
        <f>IFERROR(IF(32=1,ASSUMPTIONS!$B$5,0),"")</f>
        <v/>
      </c>
      <c r="AH21" s="140">
        <f>IFERROR(IF(33=1,ASSUMPTIONS!$B$5,0),"")</f>
        <v/>
      </c>
      <c r="AI21" s="140">
        <f>IFERROR(IF(34=1,ASSUMPTIONS!$B$5,0),"")</f>
        <v/>
      </c>
      <c r="AJ21" s="140">
        <f>IFERROR(IF(35=1,ASSUMPTIONS!$B$5,0),"")</f>
        <v/>
      </c>
      <c r="AK21" s="140">
        <f>IFERROR(IF(36=1,ASSUMPTIONS!$B$5,0),"")</f>
        <v/>
      </c>
    </row>
    <row r="22" ht="16" customHeight="1" s="239">
      <c r="A22" s="241" t="inlineStr">
        <is>
          <t>Interest</t>
        </is>
      </c>
      <c r="B22" s="140">
        <f>IFERROR(FUNDING_DEBT!D557/12,"")</f>
        <v/>
      </c>
      <c r="C22" s="140">
        <f>IFERROR(FUNDING_DEBT!D557/12,"")</f>
        <v/>
      </c>
      <c r="D22" s="140">
        <f>IFERROR(FUNDING_DEBT!D557/12,"")</f>
        <v/>
      </c>
      <c r="E22" s="140">
        <f>IFERROR(FUNDING_DEBT!D557/12,"")</f>
        <v/>
      </c>
      <c r="F22" s="140">
        <f>IFERROR(FUNDING_DEBT!D557/12,"")</f>
        <v/>
      </c>
      <c r="G22" s="140">
        <f>IFERROR(FUNDING_DEBT!D557/12,"")</f>
        <v/>
      </c>
      <c r="H22" s="140">
        <f>IFERROR(FUNDING_DEBT!D557/12,"")</f>
        <v/>
      </c>
      <c r="I22" s="140">
        <f>IFERROR(FUNDING_DEBT!D557/12,"")</f>
        <v/>
      </c>
      <c r="J22" s="140">
        <f>IFERROR(FUNDING_DEBT!D557/12,"")</f>
        <v/>
      </c>
      <c r="K22" s="140">
        <f>IFERROR(FUNDING_DEBT!D557/12,"")</f>
        <v/>
      </c>
      <c r="L22" s="140">
        <f>IFERROR(FUNDING_DEBT!D557/12,"")</f>
        <v/>
      </c>
      <c r="M22" s="140">
        <f>IFERROR(FUNDING_DEBT!D557/12,"")</f>
        <v/>
      </c>
      <c r="N22" s="140">
        <f>IFERROR(FUNDING_DEBT!D558/12,"")</f>
        <v/>
      </c>
      <c r="O22" s="140">
        <f>IFERROR(FUNDING_DEBT!D558/12,"")</f>
        <v/>
      </c>
      <c r="P22" s="140">
        <f>IFERROR(FUNDING_DEBT!D558/12,"")</f>
        <v/>
      </c>
      <c r="Q22" s="140">
        <f>IFERROR(FUNDING_DEBT!D558/12,"")</f>
        <v/>
      </c>
      <c r="R22" s="140">
        <f>IFERROR(FUNDING_DEBT!D558/12,"")</f>
        <v/>
      </c>
      <c r="S22" s="140">
        <f>IFERROR(FUNDING_DEBT!D558/12,"")</f>
        <v/>
      </c>
      <c r="T22" s="140">
        <f>IFERROR(FUNDING_DEBT!D558/12,"")</f>
        <v/>
      </c>
      <c r="U22" s="140">
        <f>IFERROR(FUNDING_DEBT!D558/12,"")</f>
        <v/>
      </c>
      <c r="V22" s="140">
        <f>IFERROR(FUNDING_DEBT!D558/12,"")</f>
        <v/>
      </c>
      <c r="W22" s="140">
        <f>IFERROR(FUNDING_DEBT!D558/12,"")</f>
        <v/>
      </c>
      <c r="X22" s="140">
        <f>IFERROR(FUNDING_DEBT!D558/12,"")</f>
        <v/>
      </c>
      <c r="Y22" s="140">
        <f>IFERROR(FUNDING_DEBT!D558/12,"")</f>
        <v/>
      </c>
      <c r="Z22" s="140">
        <f>IFERROR(FUNDING_DEBT!D559/12,"")</f>
        <v/>
      </c>
      <c r="AA22" s="140">
        <f>IFERROR(FUNDING_DEBT!D559/12,"")</f>
        <v/>
      </c>
      <c r="AB22" s="140">
        <f>IFERROR(FUNDING_DEBT!D559/12,"")</f>
        <v/>
      </c>
      <c r="AC22" s="140">
        <f>IFERROR(FUNDING_DEBT!D559/12,"")</f>
        <v/>
      </c>
      <c r="AD22" s="140">
        <f>IFERROR(FUNDING_DEBT!D559/12,"")</f>
        <v/>
      </c>
      <c r="AE22" s="140">
        <f>IFERROR(FUNDING_DEBT!D559/12,"")</f>
        <v/>
      </c>
      <c r="AF22" s="140">
        <f>IFERROR(FUNDING_DEBT!D559/12,"")</f>
        <v/>
      </c>
      <c r="AG22" s="140">
        <f>IFERROR(FUNDING_DEBT!D559/12,"")</f>
        <v/>
      </c>
      <c r="AH22" s="140">
        <f>IFERROR(FUNDING_DEBT!D559/12,"")</f>
        <v/>
      </c>
      <c r="AI22" s="140">
        <f>IFERROR(FUNDING_DEBT!D559/12,"")</f>
        <v/>
      </c>
      <c r="AJ22" s="140">
        <f>IFERROR(FUNDING_DEBT!D559/12,"")</f>
        <v/>
      </c>
      <c r="AK22" s="140">
        <f>IFERROR(FUNDING_DEBT!D559/12,"")</f>
        <v/>
      </c>
    </row>
    <row r="23" ht="16" customHeight="1" s="239">
      <c r="A23" s="241" t="inlineStr">
        <is>
          <t>Principal</t>
        </is>
      </c>
      <c r="B23" s="140">
        <f>IFERROR(IF(1&lt;=24,0,FUNDING_DEBT!H557/12),"")</f>
        <v/>
      </c>
      <c r="C23" s="140">
        <f>IFERROR(IF(2&lt;=24,0,FUNDING_DEBT!H557/12),"")</f>
        <v/>
      </c>
      <c r="D23" s="140">
        <f>IFERROR(IF(3&lt;=24,0,FUNDING_DEBT!H557/12),"")</f>
        <v/>
      </c>
      <c r="E23" s="140">
        <f>IFERROR(IF(4&lt;=24,0,FUNDING_DEBT!H557/12),"")</f>
        <v/>
      </c>
      <c r="F23" s="140">
        <f>IFERROR(IF(5&lt;=24,0,FUNDING_DEBT!H557/12),"")</f>
        <v/>
      </c>
      <c r="G23" s="140">
        <f>IFERROR(IF(6&lt;=24,0,FUNDING_DEBT!H557/12),"")</f>
        <v/>
      </c>
      <c r="H23" s="140">
        <f>IFERROR(IF(7&lt;=24,0,FUNDING_DEBT!H557/12),"")</f>
        <v/>
      </c>
      <c r="I23" s="140">
        <f>IFERROR(IF(8&lt;=24,0,FUNDING_DEBT!H557/12),"")</f>
        <v/>
      </c>
      <c r="J23" s="140">
        <f>IFERROR(IF(9&lt;=24,0,FUNDING_DEBT!H557/12),"")</f>
        <v/>
      </c>
      <c r="K23" s="140">
        <f>IFERROR(IF(10&lt;=24,0,FUNDING_DEBT!H557/12),"")</f>
        <v/>
      </c>
      <c r="L23" s="140">
        <f>IFERROR(IF(11&lt;=24,0,FUNDING_DEBT!H557/12),"")</f>
        <v/>
      </c>
      <c r="M23" s="140">
        <f>IFERROR(IF(12&lt;=24,0,FUNDING_DEBT!H557/12),"")</f>
        <v/>
      </c>
      <c r="N23" s="140">
        <f>IFERROR(IF(13&lt;=24,0,FUNDING_DEBT!H558/12),"")</f>
        <v/>
      </c>
      <c r="O23" s="140">
        <f>IFERROR(IF(14&lt;=24,0,FUNDING_DEBT!H558/12),"")</f>
        <v/>
      </c>
      <c r="P23" s="140">
        <f>IFERROR(IF(15&lt;=24,0,FUNDING_DEBT!H558/12),"")</f>
        <v/>
      </c>
      <c r="Q23" s="140">
        <f>IFERROR(IF(16&lt;=24,0,FUNDING_DEBT!H558/12),"")</f>
        <v/>
      </c>
      <c r="R23" s="140">
        <f>IFERROR(IF(17&lt;=24,0,FUNDING_DEBT!H558/12),"")</f>
        <v/>
      </c>
      <c r="S23" s="140">
        <f>IFERROR(IF(18&lt;=24,0,FUNDING_DEBT!H558/12),"")</f>
        <v/>
      </c>
      <c r="T23" s="140">
        <f>IFERROR(IF(19&lt;=24,0,FUNDING_DEBT!H558/12),"")</f>
        <v/>
      </c>
      <c r="U23" s="140">
        <f>IFERROR(IF(20&lt;=24,0,FUNDING_DEBT!H558/12),"")</f>
        <v/>
      </c>
      <c r="V23" s="140">
        <f>IFERROR(IF(21&lt;=24,0,FUNDING_DEBT!H558/12),"")</f>
        <v/>
      </c>
      <c r="W23" s="140">
        <f>IFERROR(IF(22&lt;=24,0,FUNDING_DEBT!H558/12),"")</f>
        <v/>
      </c>
      <c r="X23" s="140">
        <f>IFERROR(IF(23&lt;=24,0,FUNDING_DEBT!H558/12),"")</f>
        <v/>
      </c>
      <c r="Y23" s="140">
        <f>IFERROR(IF(24&lt;=24,0,FUNDING_DEBT!H558/12),"")</f>
        <v/>
      </c>
      <c r="Z23" s="140">
        <f>IFERROR(IF(25&lt;=24,0,FUNDING_DEBT!H559/12),"")</f>
        <v/>
      </c>
      <c r="AA23" s="140">
        <f>IFERROR(IF(26&lt;=24,0,FUNDING_DEBT!H559/12),"")</f>
        <v/>
      </c>
      <c r="AB23" s="140">
        <f>IFERROR(IF(27&lt;=24,0,FUNDING_DEBT!H559/12),"")</f>
        <v/>
      </c>
      <c r="AC23" s="140">
        <f>IFERROR(IF(28&lt;=24,0,FUNDING_DEBT!H559/12),"")</f>
        <v/>
      </c>
      <c r="AD23" s="140">
        <f>IFERROR(IF(29&lt;=24,0,FUNDING_DEBT!H559/12),"")</f>
        <v/>
      </c>
      <c r="AE23" s="140">
        <f>IFERROR(IF(30&lt;=24,0,FUNDING_DEBT!H559/12),"")</f>
        <v/>
      </c>
      <c r="AF23" s="140">
        <f>IFERROR(IF(31&lt;=24,0,FUNDING_DEBT!H559/12),"")</f>
        <v/>
      </c>
      <c r="AG23" s="140">
        <f>IFERROR(IF(32&lt;=24,0,FUNDING_DEBT!H559/12),"")</f>
        <v/>
      </c>
      <c r="AH23" s="140">
        <f>IFERROR(IF(33&lt;=24,0,FUNDING_DEBT!H559/12),"")</f>
        <v/>
      </c>
      <c r="AI23" s="140">
        <f>IFERROR(IF(34&lt;=24,0,FUNDING_DEBT!H559/12),"")</f>
        <v/>
      </c>
      <c r="AJ23" s="140">
        <f>IFERROR(IF(35&lt;=24,0,FUNDING_DEBT!H559/12),"")</f>
        <v/>
      </c>
      <c r="AK23" s="140">
        <f>IFERROR(IF(36&lt;=24,0,FUNDING_DEBT!H559/12),"")</f>
        <v/>
      </c>
    </row>
    <row r="24" ht="16" customHeight="1" s="239">
      <c r="A24" s="241" t="inlineStr">
        <is>
          <t>Equity</t>
        </is>
      </c>
      <c r="B24" s="140">
        <f>IFERROR(IF(1=1,ASSUMPTIONS!$B$11,IF(1=13,ASSUMPTIONS!$B$12,0)),"")</f>
        <v/>
      </c>
      <c r="C24" s="140">
        <f>IFERROR(IF(2=1,ASSUMPTIONS!$B$11,IF(2=13,ASSUMPTIONS!$B$12,0)),"")</f>
        <v/>
      </c>
      <c r="D24" s="140">
        <f>IFERROR(IF(3=1,ASSUMPTIONS!$B$11,IF(3=13,ASSUMPTIONS!$B$12,0)),"")</f>
        <v/>
      </c>
      <c r="E24" s="140">
        <f>IFERROR(IF(4=1,ASSUMPTIONS!$B$11,IF(4=13,ASSUMPTIONS!$B$12,0)),"")</f>
        <v/>
      </c>
      <c r="F24" s="140">
        <f>IFERROR(IF(5=1,ASSUMPTIONS!$B$11,IF(5=13,ASSUMPTIONS!$B$12,0)),"")</f>
        <v/>
      </c>
      <c r="G24" s="140">
        <f>IFERROR(IF(6=1,ASSUMPTIONS!$B$11,IF(6=13,ASSUMPTIONS!$B$12,0)),"")</f>
        <v/>
      </c>
      <c r="H24" s="140">
        <f>IFERROR(IF(7=1,ASSUMPTIONS!$B$11,IF(7=13,ASSUMPTIONS!$B$12,0)),"")</f>
        <v/>
      </c>
      <c r="I24" s="140">
        <f>IFERROR(IF(8=1,ASSUMPTIONS!$B$11,IF(8=13,ASSUMPTIONS!$B$12,0)),"")</f>
        <v/>
      </c>
      <c r="J24" s="140">
        <f>IFERROR(IF(9=1,ASSUMPTIONS!$B$11,IF(9=13,ASSUMPTIONS!$B$12,0)),"")</f>
        <v/>
      </c>
      <c r="K24" s="140">
        <f>IFERROR(IF(10=1,ASSUMPTIONS!$B$11,IF(10=13,ASSUMPTIONS!$B$12,0)),"")</f>
        <v/>
      </c>
      <c r="L24" s="140">
        <f>IFERROR(IF(11=1,ASSUMPTIONS!$B$11,IF(11=13,ASSUMPTIONS!$B$12,0)),"")</f>
        <v/>
      </c>
      <c r="M24" s="140">
        <f>IFERROR(IF(12=1,ASSUMPTIONS!$B$11,IF(12=13,ASSUMPTIONS!$B$12,0)),"")</f>
        <v/>
      </c>
      <c r="N24" s="140">
        <f>IFERROR(IF(13=1,ASSUMPTIONS!$B$11,IF(13=13,ASSUMPTIONS!$B$12,0)),"")</f>
        <v/>
      </c>
      <c r="O24" s="140">
        <f>IFERROR(IF(14=1,ASSUMPTIONS!$B$11,IF(14=13,ASSUMPTIONS!$B$12,0)),"")</f>
        <v/>
      </c>
      <c r="P24" s="140">
        <f>IFERROR(IF(15=1,ASSUMPTIONS!$B$11,IF(15=13,ASSUMPTIONS!$B$12,0)),"")</f>
        <v/>
      </c>
      <c r="Q24" s="140">
        <f>IFERROR(IF(16=1,ASSUMPTIONS!$B$11,IF(16=13,ASSUMPTIONS!$B$12,0)),"")</f>
        <v/>
      </c>
      <c r="R24" s="140">
        <f>IFERROR(IF(17=1,ASSUMPTIONS!$B$11,IF(17=13,ASSUMPTIONS!$B$12,0)),"")</f>
        <v/>
      </c>
      <c r="S24" s="140">
        <f>IFERROR(IF(18=1,ASSUMPTIONS!$B$11,IF(18=13,ASSUMPTIONS!$B$12,0)),"")</f>
        <v/>
      </c>
      <c r="T24" s="140">
        <f>IFERROR(IF(19=1,ASSUMPTIONS!$B$11,IF(19=13,ASSUMPTIONS!$B$12,0)),"")</f>
        <v/>
      </c>
      <c r="U24" s="140">
        <f>IFERROR(IF(20=1,ASSUMPTIONS!$B$11,IF(20=13,ASSUMPTIONS!$B$12,0)),"")</f>
        <v/>
      </c>
      <c r="V24" s="140">
        <f>IFERROR(IF(21=1,ASSUMPTIONS!$B$11,IF(21=13,ASSUMPTIONS!$B$12,0)),"")</f>
        <v/>
      </c>
      <c r="W24" s="140">
        <f>IFERROR(IF(22=1,ASSUMPTIONS!$B$11,IF(22=13,ASSUMPTIONS!$B$12,0)),"")</f>
        <v/>
      </c>
      <c r="X24" s="140">
        <f>IFERROR(IF(23=1,ASSUMPTIONS!$B$11,IF(23=13,ASSUMPTIONS!$B$12,0)),"")</f>
        <v/>
      </c>
      <c r="Y24" s="140">
        <f>IFERROR(IF(24=1,ASSUMPTIONS!$B$11,IF(24=13,ASSUMPTIONS!$B$12,0)),"")</f>
        <v/>
      </c>
      <c r="Z24" s="140">
        <f>IFERROR(IF(25=1,ASSUMPTIONS!$B$11,IF(25=13,ASSUMPTIONS!$B$12,0)),"")</f>
        <v/>
      </c>
      <c r="AA24" s="140">
        <f>IFERROR(IF(26=1,ASSUMPTIONS!$B$11,IF(26=13,ASSUMPTIONS!$B$12,0)),"")</f>
        <v/>
      </c>
      <c r="AB24" s="140">
        <f>IFERROR(IF(27=1,ASSUMPTIONS!$B$11,IF(27=13,ASSUMPTIONS!$B$12,0)),"")</f>
        <v/>
      </c>
      <c r="AC24" s="140">
        <f>IFERROR(IF(28=1,ASSUMPTIONS!$B$11,IF(28=13,ASSUMPTIONS!$B$12,0)),"")</f>
        <v/>
      </c>
      <c r="AD24" s="140">
        <f>IFERROR(IF(29=1,ASSUMPTIONS!$B$11,IF(29=13,ASSUMPTIONS!$B$12,0)),"")</f>
        <v/>
      </c>
      <c r="AE24" s="140">
        <f>IFERROR(IF(30=1,ASSUMPTIONS!$B$11,IF(30=13,ASSUMPTIONS!$B$12,0)),"")</f>
        <v/>
      </c>
      <c r="AF24" s="140">
        <f>IFERROR(IF(31=1,ASSUMPTIONS!$B$11,IF(31=13,ASSUMPTIONS!$B$12,0)),"")</f>
        <v/>
      </c>
      <c r="AG24" s="140">
        <f>IFERROR(IF(32=1,ASSUMPTIONS!$B$11,IF(32=13,ASSUMPTIONS!$B$12,0)),"")</f>
        <v/>
      </c>
      <c r="AH24" s="140">
        <f>IFERROR(IF(33=1,ASSUMPTIONS!$B$11,IF(33=13,ASSUMPTIONS!$B$12,0)),"")</f>
        <v/>
      </c>
      <c r="AI24" s="140">
        <f>IFERROR(IF(34=1,ASSUMPTIONS!$B$11,IF(34=13,ASSUMPTIONS!$B$12,0)),"")</f>
        <v/>
      </c>
      <c r="AJ24" s="140">
        <f>IFERROR(IF(35=1,ASSUMPTIONS!$B$11,IF(35=13,ASSUMPTIONS!$B$12,0)),"")</f>
        <v/>
      </c>
      <c r="AK24" s="140">
        <f>IFERROR(IF(36=1,ASSUMPTIONS!$B$11,IF(36=13,ASSUMPTIONS!$B$12,0)),"")</f>
        <v/>
      </c>
    </row>
    <row r="25" ht="16" customHeight="1" s="239">
      <c r="A25" s="151" t="inlineStr">
        <is>
          <t>Net Cash Flow</t>
        </is>
      </c>
      <c r="B25" s="152">
        <f>IFERROR(B19-B20+B21-B22-B23+B24,"")</f>
        <v/>
      </c>
      <c r="C25" s="152">
        <f>IFERROR(C19-C20+C21-C22-C23+C24,"")</f>
        <v/>
      </c>
      <c r="D25" s="152">
        <f>IFERROR(D19-D20+D21-D22-D23+D24,"")</f>
        <v/>
      </c>
      <c r="E25" s="152">
        <f>IFERROR(E19-E20+E21-E22-E23+E24,"")</f>
        <v/>
      </c>
      <c r="F25" s="152">
        <f>IFERROR(F19-F20+F21-F22-F23+F24,"")</f>
        <v/>
      </c>
      <c r="G25" s="152">
        <f>IFERROR(G19-G20+G21-G22-G23+G24,"")</f>
        <v/>
      </c>
      <c r="H25" s="152">
        <f>IFERROR(H19-H20+H21-H22-H23+H24,"")</f>
        <v/>
      </c>
      <c r="I25" s="152">
        <f>IFERROR(I19-I20+I21-I22-I23+I24,"")</f>
        <v/>
      </c>
      <c r="J25" s="152">
        <f>IFERROR(J19-J20+J21-J22-J23+J24,"")</f>
        <v/>
      </c>
      <c r="K25" s="152">
        <f>IFERROR(K19-K20+K21-K22-K23+K24,"")</f>
        <v/>
      </c>
      <c r="L25" s="152">
        <f>IFERROR(L19-L20+L21-L22-L23+L24,"")</f>
        <v/>
      </c>
      <c r="M25" s="152">
        <f>IFERROR(M19-M20+M21-M22-M23+M24,"")</f>
        <v/>
      </c>
      <c r="N25" s="152">
        <f>IFERROR(N19-N20+N21-N22-N23+N24,"")</f>
        <v/>
      </c>
      <c r="O25" s="152">
        <f>IFERROR(O19-O20+O21-O22-O23+O24,"")</f>
        <v/>
      </c>
      <c r="P25" s="152">
        <f>IFERROR(P19-P20+P21-P22-P23+P24,"")</f>
        <v/>
      </c>
      <c r="Q25" s="152">
        <f>IFERROR(Q19-Q20+Q21-Q22-Q23+Q24,"")</f>
        <v/>
      </c>
      <c r="R25" s="152">
        <f>IFERROR(R19-R20+R21-R22-R23+R24,"")</f>
        <v/>
      </c>
      <c r="S25" s="152">
        <f>IFERROR(S19-S20+S21-S22-S23+S24,"")</f>
        <v/>
      </c>
      <c r="T25" s="152">
        <f>IFERROR(T19-T20+T21-T22-T23+T24,"")</f>
        <v/>
      </c>
      <c r="U25" s="152">
        <f>IFERROR(U19-U20+U21-U22-U23+U24,"")</f>
        <v/>
      </c>
      <c r="V25" s="152">
        <f>IFERROR(V19-V20+V21-V22-V23+V24,"")</f>
        <v/>
      </c>
      <c r="W25" s="152">
        <f>IFERROR(W19-W20+W21-W22-W23+W24,"")</f>
        <v/>
      </c>
      <c r="X25" s="152">
        <f>IFERROR(X19-X20+X21-X22-X23+X24,"")</f>
        <v/>
      </c>
      <c r="Y25" s="152">
        <f>IFERROR(Y19-Y20+Y21-Y22-Y23+Y24,"")</f>
        <v/>
      </c>
      <c r="Z25" s="152">
        <f>IFERROR(Z19-Z20+Z21-Z22-Z23+Z24,"")</f>
        <v/>
      </c>
      <c r="AA25" s="152">
        <f>IFERROR(AA19-AA20+AA21-AA22-AA23+AA24,"")</f>
        <v/>
      </c>
      <c r="AB25" s="152">
        <f>IFERROR(AB19-AB20+AB21-AB22-AB23+AB24,"")</f>
        <v/>
      </c>
      <c r="AC25" s="152">
        <f>IFERROR(AC19-AC20+AC21-AC22-AC23+AC24,"")</f>
        <v/>
      </c>
      <c r="AD25" s="152">
        <f>IFERROR(AD19-AD20+AD21-AD22-AD23+AD24,"")</f>
        <v/>
      </c>
      <c r="AE25" s="152">
        <f>IFERROR(AE19-AE20+AE21-AE22-AE23+AE24,"")</f>
        <v/>
      </c>
      <c r="AF25" s="152">
        <f>IFERROR(AF19-AF20+AF21-AF22-AF23+AF24,"")</f>
        <v/>
      </c>
      <c r="AG25" s="152">
        <f>IFERROR(AG19-AG20+AG21-AG22-AG23+AG24,"")</f>
        <v/>
      </c>
      <c r="AH25" s="152">
        <f>IFERROR(AH19-AH20+AH21-AH22-AH23+AH24,"")</f>
        <v/>
      </c>
      <c r="AI25" s="152">
        <f>IFERROR(AI19-AI20+AI21-AI22-AI23+AI24,"")</f>
        <v/>
      </c>
      <c r="AJ25" s="152">
        <f>IFERROR(AJ19-AJ20+AJ21-AJ22-AJ23+AJ24,"")</f>
        <v/>
      </c>
      <c r="AK25" s="152">
        <f>IFERROR(AK19-AK20+AK21-AK22-AK23+AK24,"")</f>
        <v/>
      </c>
    </row>
    <row r="26" ht="16" customHeight="1" s="239">
      <c r="A26" s="151" t="inlineStr">
        <is>
          <t>Closing Cash</t>
        </is>
      </c>
      <c r="B26" s="152">
        <f>IFERROR(B4+B25,"")</f>
        <v/>
      </c>
      <c r="C26" s="152">
        <f>IFERROR(C4+C25,"")</f>
        <v/>
      </c>
      <c r="D26" s="152">
        <f>IFERROR(D4+D25,"")</f>
        <v/>
      </c>
      <c r="E26" s="152">
        <f>IFERROR(E4+E25,"")</f>
        <v/>
      </c>
      <c r="F26" s="152">
        <f>IFERROR(F4+F25,"")</f>
        <v/>
      </c>
      <c r="G26" s="152">
        <f>IFERROR(G4+G25,"")</f>
        <v/>
      </c>
      <c r="H26" s="152">
        <f>IFERROR(H4+H25,"")</f>
        <v/>
      </c>
      <c r="I26" s="152">
        <f>IFERROR(I4+I25,"")</f>
        <v/>
      </c>
      <c r="J26" s="152">
        <f>IFERROR(J4+J25,"")</f>
        <v/>
      </c>
      <c r="K26" s="152">
        <f>IFERROR(K4+K25,"")</f>
        <v/>
      </c>
      <c r="L26" s="152">
        <f>IFERROR(L4+L25,"")</f>
        <v/>
      </c>
      <c r="M26" s="152">
        <f>IFERROR(M4+M25,"")</f>
        <v/>
      </c>
      <c r="N26" s="152">
        <f>IFERROR(N4+N25,"")</f>
        <v/>
      </c>
      <c r="O26" s="152">
        <f>IFERROR(O4+O25,"")</f>
        <v/>
      </c>
      <c r="P26" s="152">
        <f>IFERROR(P4+P25,"")</f>
        <v/>
      </c>
      <c r="Q26" s="152">
        <f>IFERROR(Q4+Q25,"")</f>
        <v/>
      </c>
      <c r="R26" s="152">
        <f>IFERROR(R4+R25,"")</f>
        <v/>
      </c>
      <c r="S26" s="152">
        <f>IFERROR(S4+S25,"")</f>
        <v/>
      </c>
      <c r="T26" s="152">
        <f>IFERROR(T4+T25,"")</f>
        <v/>
      </c>
      <c r="U26" s="152">
        <f>IFERROR(U4+U25,"")</f>
        <v/>
      </c>
      <c r="V26" s="152">
        <f>IFERROR(V4+V25,"")</f>
        <v/>
      </c>
      <c r="W26" s="152">
        <f>IFERROR(W4+W25,"")</f>
        <v/>
      </c>
      <c r="X26" s="152">
        <f>IFERROR(X4+X25,"")</f>
        <v/>
      </c>
      <c r="Y26" s="152">
        <f>IFERROR(Y4+Y25,"")</f>
        <v/>
      </c>
      <c r="Z26" s="152">
        <f>IFERROR(Z4+Z25,"")</f>
        <v/>
      </c>
      <c r="AA26" s="152">
        <f>IFERROR(AA4+AA25,"")</f>
        <v/>
      </c>
      <c r="AB26" s="152">
        <f>IFERROR(AB4+AB25,"")</f>
        <v/>
      </c>
      <c r="AC26" s="152">
        <f>IFERROR(AC4+AC25,"")</f>
        <v/>
      </c>
      <c r="AD26" s="152">
        <f>IFERROR(AD4+AD25,"")</f>
        <v/>
      </c>
      <c r="AE26" s="152">
        <f>IFERROR(AE4+AE25,"")</f>
        <v/>
      </c>
      <c r="AF26" s="152">
        <f>IFERROR(AF4+AF25,"")</f>
        <v/>
      </c>
      <c r="AG26" s="152">
        <f>IFERROR(AG4+AG25,"")</f>
        <v/>
      </c>
      <c r="AH26" s="152">
        <f>IFERROR(AH4+AH25,"")</f>
        <v/>
      </c>
      <c r="AI26" s="152">
        <f>IFERROR(AI4+AI25,"")</f>
        <v/>
      </c>
      <c r="AJ26" s="152">
        <f>IFERROR(AJ4+AJ25,"")</f>
        <v/>
      </c>
      <c r="AK26" s="152">
        <f>IFERROR(AK4+AK25,"")</f>
        <v/>
      </c>
    </row>
    <row r="27" ht="16" customHeight="1" s="239">
      <c r="A27" s="151" t="inlineStr">
        <is>
          <t>CFADS</t>
        </is>
      </c>
      <c r="B27" s="152">
        <f>IFERROR(B19-B16,"")</f>
        <v/>
      </c>
      <c r="C27" s="152">
        <f>IFERROR(C19-C16,"")</f>
        <v/>
      </c>
      <c r="D27" s="152">
        <f>IFERROR(D19-D16,"")</f>
        <v/>
      </c>
      <c r="E27" s="152">
        <f>IFERROR(E19-E16,"")</f>
        <v/>
      </c>
      <c r="F27" s="152">
        <f>IFERROR(F19-F16,"")</f>
        <v/>
      </c>
      <c r="G27" s="152">
        <f>IFERROR(G19-G16,"")</f>
        <v/>
      </c>
      <c r="H27" s="152">
        <f>IFERROR(H19-H16,"")</f>
        <v/>
      </c>
      <c r="I27" s="152">
        <f>IFERROR(I19-I16,"")</f>
        <v/>
      </c>
      <c r="J27" s="152">
        <f>IFERROR(J19-J16,"")</f>
        <v/>
      </c>
      <c r="K27" s="152">
        <f>IFERROR(K19-K16,"")</f>
        <v/>
      </c>
      <c r="L27" s="152">
        <f>IFERROR(L19-L16,"")</f>
        <v/>
      </c>
      <c r="M27" s="152">
        <f>IFERROR(M19-M16,"")</f>
        <v/>
      </c>
      <c r="N27" s="152">
        <f>IFERROR(N19-N16,"")</f>
        <v/>
      </c>
      <c r="O27" s="152">
        <f>IFERROR(O19-O16,"")</f>
        <v/>
      </c>
      <c r="P27" s="152">
        <f>IFERROR(P19-P16,"")</f>
        <v/>
      </c>
      <c r="Q27" s="152">
        <f>IFERROR(Q19-Q16,"")</f>
        <v/>
      </c>
      <c r="R27" s="152">
        <f>IFERROR(R19-R16,"")</f>
        <v/>
      </c>
      <c r="S27" s="152">
        <f>IFERROR(S19-S16,"")</f>
        <v/>
      </c>
      <c r="T27" s="152">
        <f>IFERROR(T19-T16,"")</f>
        <v/>
      </c>
      <c r="U27" s="152">
        <f>IFERROR(U19-U16,"")</f>
        <v/>
      </c>
      <c r="V27" s="152">
        <f>IFERROR(V19-V16,"")</f>
        <v/>
      </c>
      <c r="W27" s="152">
        <f>IFERROR(W19-W16,"")</f>
        <v/>
      </c>
      <c r="X27" s="152">
        <f>IFERROR(X19-X16,"")</f>
        <v/>
      </c>
      <c r="Y27" s="152">
        <f>IFERROR(Y19-Y16,"")</f>
        <v/>
      </c>
      <c r="Z27" s="152">
        <f>IFERROR(Z19-Z16,"")</f>
        <v/>
      </c>
      <c r="AA27" s="152">
        <f>IFERROR(AA19-AA16,"")</f>
        <v/>
      </c>
      <c r="AB27" s="152">
        <f>IFERROR(AB19-AB16,"")</f>
        <v/>
      </c>
      <c r="AC27" s="152">
        <f>IFERROR(AC19-AC16,"")</f>
        <v/>
      </c>
      <c r="AD27" s="152">
        <f>IFERROR(AD19-AD16,"")</f>
        <v/>
      </c>
      <c r="AE27" s="152">
        <f>IFERROR(AE19-AE16,"")</f>
        <v/>
      </c>
      <c r="AF27" s="152">
        <f>IFERROR(AF19-AF16,"")</f>
        <v/>
      </c>
      <c r="AG27" s="152">
        <f>IFERROR(AG19-AG16,"")</f>
        <v/>
      </c>
      <c r="AH27" s="152">
        <f>IFERROR(AH19-AH16,"")</f>
        <v/>
      </c>
      <c r="AI27" s="152">
        <f>IFERROR(AI19-AI16,"")</f>
        <v/>
      </c>
      <c r="AJ27" s="152">
        <f>IFERROR(AJ19-AJ16,"")</f>
        <v/>
      </c>
      <c r="AK27" s="152">
        <f>IFERROR(AK19-AK16,"")</f>
        <v/>
      </c>
    </row>
    <row r="28">
      <c r="A28" s="241" t="n"/>
      <c r="B28" s="241" t="n"/>
      <c r="C28" s="241" t="n"/>
      <c r="D28" s="241" t="n"/>
      <c r="E28" s="241" t="n"/>
      <c r="F28" s="241" t="n"/>
      <c r="G28" s="241" t="n"/>
      <c r="H28" s="241" t="n"/>
      <c r="I28" s="241" t="n"/>
      <c r="J28" s="241" t="n"/>
      <c r="K28" s="241" t="n"/>
      <c r="L28" s="241" t="n"/>
      <c r="M28" s="241" t="n"/>
      <c r="N28" s="241" t="n"/>
      <c r="O28" s="241" t="n"/>
      <c r="P28" s="241" t="n"/>
      <c r="Q28" s="241" t="n"/>
      <c r="R28" s="241" t="n"/>
      <c r="S28" s="241" t="n"/>
      <c r="T28" s="241" t="n"/>
      <c r="U28" s="241" t="n"/>
      <c r="V28" s="241" t="n"/>
      <c r="W28" s="241" t="n"/>
      <c r="X28" s="241" t="n"/>
      <c r="Y28" s="241" t="n"/>
      <c r="Z28" s="241" t="n"/>
      <c r="AA28" s="241" t="n"/>
      <c r="AB28" s="241" t="n"/>
      <c r="AC28" s="241" t="n"/>
      <c r="AD28" s="241" t="n"/>
      <c r="AE28" s="241" t="n"/>
      <c r="AF28" s="241" t="n"/>
      <c r="AG28" s="241" t="n"/>
      <c r="AH28" s="241" t="n"/>
      <c r="AI28" s="241" t="n"/>
      <c r="AJ28" s="241" t="n"/>
      <c r="AK28" s="241" t="n"/>
    </row>
    <row r="29">
      <c r="A29" s="241" t="n"/>
      <c r="B29" s="241" t="n"/>
      <c r="C29" s="241" t="n"/>
      <c r="D29" s="241" t="n"/>
      <c r="E29" s="241" t="n"/>
      <c r="F29" s="241" t="n"/>
      <c r="G29" s="241" t="n"/>
      <c r="H29" s="241" t="n"/>
      <c r="I29" s="241" t="n"/>
      <c r="J29" s="241" t="n"/>
      <c r="K29" s="241" t="n"/>
      <c r="L29" s="241" t="n"/>
      <c r="M29" s="241" t="n"/>
      <c r="N29" s="241" t="n"/>
      <c r="O29" s="241" t="n"/>
      <c r="P29" s="241" t="n"/>
      <c r="Q29" s="241" t="n"/>
      <c r="R29" s="241" t="n"/>
      <c r="S29" s="241" t="n"/>
      <c r="T29" s="241" t="n"/>
      <c r="U29" s="241" t="n"/>
      <c r="V29" s="241" t="n"/>
      <c r="W29" s="241" t="n"/>
      <c r="X29" s="241" t="n"/>
      <c r="Y29" s="241" t="n"/>
      <c r="Z29" s="241" t="n"/>
      <c r="AA29" s="241" t="n"/>
      <c r="AB29" s="241" t="n"/>
      <c r="AC29" s="241" t="n"/>
      <c r="AD29" s="241" t="n"/>
      <c r="AE29" s="241" t="n"/>
      <c r="AF29" s="241" t="n"/>
      <c r="AG29" s="241" t="n"/>
      <c r="AH29" s="241" t="n"/>
      <c r="AI29" s="241" t="n"/>
      <c r="AJ29" s="241" t="n"/>
      <c r="AK29" s="241" t="n"/>
    </row>
    <row r="30" ht="16" customHeight="1" s="239">
      <c r="A30" s="141" t="inlineStr">
        <is>
          <t>Annual Consolidated Cash Flow</t>
        </is>
      </c>
      <c r="B30" s="142" t="n"/>
      <c r="C30" s="142" t="n"/>
      <c r="D30" s="142" t="n"/>
      <c r="E30" s="142" t="n"/>
      <c r="F30" s="142" t="n"/>
      <c r="G30" s="142" t="n"/>
      <c r="H30" s="142" t="n"/>
      <c r="I30" s="142" t="n"/>
      <c r="J30" s="142" t="n"/>
      <c r="K30" s="142" t="n"/>
      <c r="L30" s="241" t="n"/>
      <c r="M30" s="241" t="n"/>
      <c r="N30" s="241" t="n"/>
      <c r="O30" s="241" t="n"/>
      <c r="P30" s="241" t="n"/>
      <c r="Q30" s="241" t="n"/>
      <c r="R30" s="241" t="n"/>
      <c r="S30" s="241" t="n"/>
      <c r="T30" s="241" t="n"/>
      <c r="U30" s="241" t="n"/>
      <c r="V30" s="241" t="n"/>
      <c r="W30" s="241" t="n"/>
      <c r="X30" s="241" t="n"/>
      <c r="Y30" s="241" t="n"/>
      <c r="Z30" s="241" t="n"/>
      <c r="AA30" s="241" t="n"/>
      <c r="AB30" s="241" t="n"/>
      <c r="AC30" s="241" t="n"/>
      <c r="AD30" s="241" t="n"/>
      <c r="AE30" s="241" t="n"/>
      <c r="AF30" s="241" t="n"/>
      <c r="AG30" s="241" t="n"/>
      <c r="AH30" s="241" t="n"/>
      <c r="AI30" s="241" t="n"/>
      <c r="AJ30" s="241" t="n"/>
      <c r="AK30" s="241" t="n"/>
    </row>
    <row r="31">
      <c r="A31" s="241" t="n"/>
      <c r="B31" s="241" t="n"/>
      <c r="C31" s="241" t="n"/>
      <c r="D31" s="241" t="n"/>
      <c r="E31" s="241" t="n"/>
      <c r="F31" s="241" t="n"/>
      <c r="G31" s="241" t="n"/>
      <c r="H31" s="241" t="n"/>
      <c r="I31" s="241" t="n"/>
      <c r="J31" s="241" t="n"/>
      <c r="K31" s="241" t="n"/>
      <c r="L31" s="241" t="n"/>
      <c r="M31" s="241" t="n"/>
      <c r="N31" s="241" t="n"/>
      <c r="O31" s="241" t="n"/>
      <c r="P31" s="241" t="n"/>
      <c r="Q31" s="241" t="n"/>
      <c r="R31" s="241" t="n"/>
      <c r="S31" s="241" t="n"/>
      <c r="T31" s="241" t="n"/>
      <c r="U31" s="241" t="n"/>
      <c r="V31" s="241" t="n"/>
      <c r="W31" s="241" t="n"/>
      <c r="X31" s="241" t="n"/>
      <c r="Y31" s="241" t="n"/>
      <c r="Z31" s="241" t="n"/>
      <c r="AA31" s="241" t="n"/>
      <c r="AB31" s="241" t="n"/>
      <c r="AC31" s="241" t="n"/>
      <c r="AD31" s="241" t="n"/>
      <c r="AE31" s="241" t="n"/>
      <c r="AF31" s="241" t="n"/>
      <c r="AG31" s="241" t="n"/>
      <c r="AH31" s="241" t="n"/>
      <c r="AI31" s="241" t="n"/>
      <c r="AJ31" s="241" t="n"/>
      <c r="AK31" s="241" t="n"/>
    </row>
    <row r="32">
      <c r="A32" s="241" t="n"/>
      <c r="B32" s="241" t="n"/>
      <c r="C32" s="241" t="n"/>
      <c r="D32" s="241" t="n"/>
      <c r="E32" s="241" t="n"/>
      <c r="F32" s="241" t="n"/>
      <c r="G32" s="241" t="n"/>
      <c r="H32" s="241" t="n"/>
      <c r="I32" s="241" t="n"/>
      <c r="J32" s="241" t="n"/>
      <c r="K32" s="241" t="n"/>
      <c r="L32" s="241" t="n"/>
      <c r="M32" s="241" t="n"/>
      <c r="N32" s="241" t="n"/>
      <c r="O32" s="241" t="n"/>
      <c r="P32" s="241" t="n"/>
      <c r="Q32" s="241" t="n"/>
      <c r="R32" s="241" t="n"/>
      <c r="S32" s="241" t="n"/>
      <c r="T32" s="241" t="n"/>
      <c r="U32" s="241" t="n"/>
      <c r="V32" s="241" t="n"/>
      <c r="W32" s="241" t="n"/>
      <c r="X32" s="241" t="n"/>
      <c r="Y32" s="241" t="n"/>
      <c r="Z32" s="241" t="n"/>
      <c r="AA32" s="241" t="n"/>
      <c r="AB32" s="241" t="n"/>
      <c r="AC32" s="241" t="n"/>
      <c r="AD32" s="241" t="n"/>
      <c r="AE32" s="241" t="n"/>
      <c r="AF32" s="241" t="n"/>
      <c r="AG32" s="241" t="n"/>
      <c r="AH32" s="241" t="n"/>
      <c r="AI32" s="241" t="n"/>
      <c r="AJ32" s="241" t="n"/>
      <c r="AK32" s="241" t="n"/>
    </row>
    <row r="33" ht="16" customHeight="1" s="239">
      <c r="A33" s="144" t="inlineStr">
        <is>
          <t>Year</t>
        </is>
      </c>
      <c r="B33" s="150" t="n">
        <v>1</v>
      </c>
      <c r="C33" s="150" t="n">
        <v>2</v>
      </c>
      <c r="D33" s="150" t="n">
        <v>3</v>
      </c>
      <c r="E33" s="150" t="n">
        <v>4</v>
      </c>
      <c r="F33" s="150" t="n">
        <v>5</v>
      </c>
      <c r="G33" s="150" t="n">
        <v>6</v>
      </c>
      <c r="H33" s="150" t="n">
        <v>7</v>
      </c>
      <c r="I33" s="150" t="n">
        <v>8</v>
      </c>
      <c r="J33" s="150" t="n">
        <v>9</v>
      </c>
      <c r="K33" s="150" t="n">
        <v>10</v>
      </c>
      <c r="L33" s="241" t="n"/>
      <c r="M33" s="241" t="n"/>
      <c r="N33" s="241" t="n"/>
      <c r="O33" s="241" t="n"/>
      <c r="P33" s="241" t="n"/>
      <c r="Q33" s="241" t="n"/>
      <c r="R33" s="241" t="n"/>
      <c r="S33" s="241" t="n"/>
      <c r="T33" s="241" t="n"/>
      <c r="U33" s="241" t="n"/>
      <c r="V33" s="241" t="n"/>
      <c r="W33" s="241" t="n"/>
      <c r="X33" s="241" t="n"/>
      <c r="Y33" s="241" t="n"/>
      <c r="Z33" s="241" t="n"/>
      <c r="AA33" s="241" t="n"/>
      <c r="AB33" s="241" t="n"/>
      <c r="AC33" s="241" t="n"/>
      <c r="AD33" s="241" t="n"/>
      <c r="AE33" s="241" t="n"/>
      <c r="AF33" s="241" t="n"/>
      <c r="AG33" s="241" t="n"/>
      <c r="AH33" s="241" t="n"/>
      <c r="AI33" s="241" t="n"/>
      <c r="AJ33" s="241" t="n"/>
      <c r="AK33" s="241" t="n"/>
    </row>
    <row r="34" ht="16" customHeight="1" s="239">
      <c r="A34" s="146" t="inlineStr">
        <is>
          <t>EBITDA</t>
        </is>
      </c>
      <c r="B34" s="140">
        <f>IFERROR(PNL!B8,"")</f>
        <v/>
      </c>
      <c r="C34" s="140">
        <f>IFERROR(PNL!C8,"")</f>
        <v/>
      </c>
      <c r="D34" s="140">
        <f>IFERROR(PNL!D8,"")</f>
        <v/>
      </c>
      <c r="E34" s="140">
        <f>IFERROR(PNL!E8,"")</f>
        <v/>
      </c>
      <c r="F34" s="140">
        <f>IFERROR(PNL!F8,"")</f>
        <v/>
      </c>
      <c r="G34" s="140">
        <f>IFERROR(PNL!G8,"")</f>
        <v/>
      </c>
      <c r="H34" s="140">
        <f>IFERROR(PNL!H8,"")</f>
        <v/>
      </c>
      <c r="I34" s="140">
        <f>IFERROR(PNL!I8,"")</f>
        <v/>
      </c>
      <c r="J34" s="140">
        <f>IFERROR(PNL!J8,"")</f>
        <v/>
      </c>
      <c r="K34" s="140">
        <f>IFERROR(PNL!K8,"")</f>
        <v/>
      </c>
      <c r="L34" s="241" t="n"/>
      <c r="M34" s="241" t="n"/>
      <c r="N34" s="241" t="n"/>
      <c r="O34" s="241" t="n"/>
      <c r="P34" s="241" t="n"/>
      <c r="Q34" s="241" t="n"/>
      <c r="R34" s="241" t="n"/>
      <c r="S34" s="241" t="n"/>
      <c r="T34" s="241" t="n"/>
      <c r="U34" s="241" t="n"/>
      <c r="V34" s="241" t="n"/>
      <c r="W34" s="241" t="n"/>
      <c r="X34" s="241" t="n"/>
      <c r="Y34" s="241" t="n"/>
      <c r="Z34" s="241" t="n"/>
      <c r="AA34" s="241" t="n"/>
      <c r="AB34" s="241" t="n"/>
      <c r="AC34" s="241" t="n"/>
      <c r="AD34" s="241" t="n"/>
      <c r="AE34" s="241" t="n"/>
      <c r="AF34" s="241" t="n"/>
      <c r="AG34" s="241" t="n"/>
      <c r="AH34" s="241" t="n"/>
      <c r="AI34" s="241" t="n"/>
      <c r="AJ34" s="241" t="n"/>
      <c r="AK34" s="241" t="n"/>
    </row>
    <row r="35" ht="16" customHeight="1" s="239">
      <c r="A35" s="146" t="inlineStr">
        <is>
          <t>Cash_Tax_Paid</t>
        </is>
      </c>
      <c r="B35" s="140">
        <f>IFERROR(PNL!B13,"")</f>
        <v/>
      </c>
      <c r="C35" s="140">
        <f>IFERROR(PNL!C13,"")</f>
        <v/>
      </c>
      <c r="D35" s="140">
        <f>IFERROR(PNL!D13,"")</f>
        <v/>
      </c>
      <c r="E35" s="140">
        <f>IFERROR(PNL!E13,"")</f>
        <v/>
      </c>
      <c r="F35" s="140">
        <f>IFERROR(PNL!F13,"")</f>
        <v/>
      </c>
      <c r="G35" s="140">
        <f>IFERROR(PNL!G13,"")</f>
        <v/>
      </c>
      <c r="H35" s="140">
        <f>IFERROR(PNL!H13,"")</f>
        <v/>
      </c>
      <c r="I35" s="140">
        <f>IFERROR(PNL!I13,"")</f>
        <v/>
      </c>
      <c r="J35" s="140">
        <f>IFERROR(PNL!J13,"")</f>
        <v/>
      </c>
      <c r="K35" s="140">
        <f>IFERROR(PNL!K13,"")</f>
        <v/>
      </c>
      <c r="L35" s="241" t="n"/>
      <c r="M35" s="241" t="n"/>
      <c r="N35" s="241" t="n"/>
      <c r="O35" s="241" t="n"/>
      <c r="P35" s="241" t="n"/>
      <c r="Q35" s="241" t="n"/>
      <c r="R35" s="241" t="n"/>
      <c r="S35" s="241" t="n"/>
      <c r="T35" s="241" t="n"/>
      <c r="U35" s="241" t="n"/>
      <c r="V35" s="241" t="n"/>
      <c r="W35" s="241" t="n"/>
      <c r="X35" s="241" t="n"/>
      <c r="Y35" s="241" t="n"/>
      <c r="Z35" s="241" t="n"/>
      <c r="AA35" s="241" t="n"/>
      <c r="AB35" s="241" t="n"/>
      <c r="AC35" s="241" t="n"/>
      <c r="AD35" s="241" t="n"/>
      <c r="AE35" s="241" t="n"/>
      <c r="AF35" s="241" t="n"/>
      <c r="AG35" s="241" t="n"/>
      <c r="AH35" s="241" t="n"/>
      <c r="AI35" s="241" t="n"/>
      <c r="AJ35" s="241" t="n"/>
      <c r="AK35" s="241" t="n"/>
    </row>
    <row r="36" ht="16" customHeight="1" s="239">
      <c r="A36" s="146" t="inlineStr">
        <is>
          <t>Delta_NWC</t>
        </is>
      </c>
      <c r="B36" s="140">
        <f>IFERROR(WORKING_CAPITAL!B8,"")</f>
        <v/>
      </c>
      <c r="C36" s="140">
        <f>IFERROR(WORKING_CAPITAL!C8,"")</f>
        <v/>
      </c>
      <c r="D36" s="140">
        <f>IFERROR(WORKING_CAPITAL!D8,"")</f>
        <v/>
      </c>
      <c r="E36" s="140">
        <f>IFERROR(WORKING_CAPITAL!E8,"")</f>
        <v/>
      </c>
      <c r="F36" s="140">
        <f>IFERROR(WORKING_CAPITAL!F8,"")</f>
        <v/>
      </c>
      <c r="G36" s="140">
        <f>IFERROR(WORKING_CAPITAL!G8,"")</f>
        <v/>
      </c>
      <c r="H36" s="140">
        <f>IFERROR(WORKING_CAPITAL!H8,"")</f>
        <v/>
      </c>
      <c r="I36" s="140">
        <f>IFERROR(WORKING_CAPITAL!I8,"")</f>
        <v/>
      </c>
      <c r="J36" s="140">
        <f>IFERROR(WORKING_CAPITAL!J8,"")</f>
        <v/>
      </c>
      <c r="K36" s="140">
        <f>IFERROR(WORKING_CAPITAL!K8,"")</f>
        <v/>
      </c>
      <c r="L36" s="241" t="n"/>
      <c r="M36" s="241" t="n"/>
      <c r="N36" s="241" t="n"/>
      <c r="O36" s="241" t="n"/>
      <c r="P36" s="241" t="n"/>
      <c r="Q36" s="241" t="n"/>
      <c r="R36" s="241" t="n"/>
      <c r="S36" s="241" t="n"/>
      <c r="T36" s="241" t="n"/>
      <c r="U36" s="241" t="n"/>
      <c r="V36" s="241" t="n"/>
      <c r="W36" s="241" t="n"/>
      <c r="X36" s="241" t="n"/>
      <c r="Y36" s="241" t="n"/>
      <c r="Z36" s="241" t="n"/>
      <c r="AA36" s="241" t="n"/>
      <c r="AB36" s="241" t="n"/>
      <c r="AC36" s="241" t="n"/>
      <c r="AD36" s="241" t="n"/>
      <c r="AE36" s="241" t="n"/>
      <c r="AF36" s="241" t="n"/>
      <c r="AG36" s="241" t="n"/>
      <c r="AH36" s="241" t="n"/>
      <c r="AI36" s="241" t="n"/>
      <c r="AJ36" s="241" t="n"/>
      <c r="AK36" s="241" t="n"/>
    </row>
    <row r="37" ht="16" customHeight="1" s="239">
      <c r="A37" s="146" t="inlineStr">
        <is>
          <t>CFO</t>
        </is>
      </c>
      <c r="B37" s="140">
        <f>IFERROR(B34-B35-B36,"")</f>
        <v/>
      </c>
      <c r="C37" s="140">
        <f>IFERROR(C34-C35-C36,"")</f>
        <v/>
      </c>
      <c r="D37" s="140">
        <f>IFERROR(D34-D35-D36,"")</f>
        <v/>
      </c>
      <c r="E37" s="140">
        <f>IFERROR(E34-E35-E36,"")</f>
        <v/>
      </c>
      <c r="F37" s="140">
        <f>IFERROR(F34-F35-F36,"")</f>
        <v/>
      </c>
      <c r="G37" s="140">
        <f>IFERROR(G34-G35-G36,"")</f>
        <v/>
      </c>
      <c r="H37" s="140">
        <f>IFERROR(H34-H35-H36,"")</f>
        <v/>
      </c>
      <c r="I37" s="140">
        <f>IFERROR(I34-I35-I36,"")</f>
        <v/>
      </c>
      <c r="J37" s="140">
        <f>IFERROR(J34-J35-J36,"")</f>
        <v/>
      </c>
      <c r="K37" s="140">
        <f>IFERROR(K34-K35-K36,"")</f>
        <v/>
      </c>
      <c r="L37" s="241" t="n"/>
      <c r="M37" s="241" t="n"/>
      <c r="N37" s="241" t="n"/>
      <c r="O37" s="241" t="n"/>
      <c r="P37" s="241" t="n"/>
      <c r="Q37" s="241" t="n"/>
      <c r="R37" s="241" t="n"/>
      <c r="S37" s="241" t="n"/>
      <c r="T37" s="241" t="n"/>
      <c r="U37" s="241" t="n"/>
      <c r="V37" s="241" t="n"/>
      <c r="W37" s="241" t="n"/>
      <c r="X37" s="241" t="n"/>
      <c r="Y37" s="241" t="n"/>
      <c r="Z37" s="241" t="n"/>
      <c r="AA37" s="241" t="n"/>
      <c r="AB37" s="241" t="n"/>
      <c r="AC37" s="241" t="n"/>
      <c r="AD37" s="241" t="n"/>
      <c r="AE37" s="241" t="n"/>
      <c r="AF37" s="241" t="n"/>
      <c r="AG37" s="241" t="n"/>
      <c r="AH37" s="241" t="n"/>
      <c r="AI37" s="241" t="n"/>
      <c r="AJ37" s="241" t="n"/>
      <c r="AK37" s="241" t="n"/>
    </row>
    <row r="38" ht="16" customHeight="1" s="239">
      <c r="A38" s="146" t="inlineStr">
        <is>
          <t>Cash_CAPEX</t>
        </is>
      </c>
      <c r="B38" s="140">
        <f>IFERROR(PNL!B23,"")</f>
        <v/>
      </c>
      <c r="C38" s="140">
        <f>IFERROR(PNL!C23,"")</f>
        <v/>
      </c>
      <c r="D38" s="140">
        <f>IFERROR(PNL!D23,"")</f>
        <v/>
      </c>
      <c r="E38" s="140">
        <f>IFERROR(PNL!E23,"")</f>
        <v/>
      </c>
      <c r="F38" s="140">
        <f>IFERROR(PNL!F23,"")</f>
        <v/>
      </c>
      <c r="G38" s="140">
        <f>IFERROR(PNL!G23,"")</f>
        <v/>
      </c>
      <c r="H38" s="140">
        <f>IFERROR(PNL!H23,"")</f>
        <v/>
      </c>
      <c r="I38" s="140">
        <f>IFERROR(PNL!I23,"")</f>
        <v/>
      </c>
      <c r="J38" s="140">
        <f>IFERROR(PNL!J23,"")</f>
        <v/>
      </c>
      <c r="K38" s="140">
        <f>IFERROR(PNL!K23,"")</f>
        <v/>
      </c>
      <c r="L38" s="241" t="n"/>
      <c r="M38" s="241" t="n"/>
      <c r="N38" s="241" t="n"/>
      <c r="O38" s="241" t="n"/>
      <c r="P38" s="241" t="n"/>
      <c r="Q38" s="241" t="n"/>
      <c r="R38" s="241" t="n"/>
      <c r="S38" s="241" t="n"/>
      <c r="T38" s="241" t="n"/>
      <c r="U38" s="241" t="n"/>
      <c r="V38" s="241" t="n"/>
      <c r="W38" s="241" t="n"/>
      <c r="X38" s="241" t="n"/>
      <c r="Y38" s="241" t="n"/>
      <c r="Z38" s="241" t="n"/>
      <c r="AA38" s="241" t="n"/>
      <c r="AB38" s="241" t="n"/>
      <c r="AC38" s="241" t="n"/>
      <c r="AD38" s="241" t="n"/>
      <c r="AE38" s="241" t="n"/>
      <c r="AF38" s="241" t="n"/>
      <c r="AG38" s="241" t="n"/>
      <c r="AH38" s="241" t="n"/>
      <c r="AI38" s="241" t="n"/>
      <c r="AJ38" s="241" t="n"/>
      <c r="AK38" s="241" t="n"/>
    </row>
    <row r="39" ht="16" customHeight="1" s="239">
      <c r="A39" s="146" t="inlineStr">
        <is>
          <t>CFI</t>
        </is>
      </c>
      <c r="B39" s="140">
        <f>IFERROR(-B38,"")</f>
        <v/>
      </c>
      <c r="C39" s="140">
        <f>IFERROR(-C38,"")</f>
        <v/>
      </c>
      <c r="D39" s="140">
        <f>IFERROR(-D38,"")</f>
        <v/>
      </c>
      <c r="E39" s="140">
        <f>IFERROR(-E38,"")</f>
        <v/>
      </c>
      <c r="F39" s="140">
        <f>IFERROR(-F38,"")</f>
        <v/>
      </c>
      <c r="G39" s="140">
        <f>IFERROR(-G38,"")</f>
        <v/>
      </c>
      <c r="H39" s="140">
        <f>IFERROR(-H38,"")</f>
        <v/>
      </c>
      <c r="I39" s="140">
        <f>IFERROR(-I38,"")</f>
        <v/>
      </c>
      <c r="J39" s="140">
        <f>IFERROR(-J38,"")</f>
        <v/>
      </c>
      <c r="K39" s="140">
        <f>IFERROR(-K38,"")</f>
        <v/>
      </c>
      <c r="L39" s="241" t="n"/>
      <c r="M39" s="241" t="n"/>
      <c r="N39" s="241" t="n"/>
      <c r="O39" s="241" t="n"/>
      <c r="P39" s="241" t="n"/>
      <c r="Q39" s="241" t="n"/>
      <c r="R39" s="241" t="n"/>
      <c r="S39" s="241" t="n"/>
      <c r="T39" s="241" t="n"/>
      <c r="U39" s="241" t="n"/>
      <c r="V39" s="241" t="n"/>
      <c r="W39" s="241" t="n"/>
      <c r="X39" s="241" t="n"/>
      <c r="Y39" s="241" t="n"/>
      <c r="Z39" s="241" t="n"/>
      <c r="AA39" s="241" t="n"/>
      <c r="AB39" s="241" t="n"/>
      <c r="AC39" s="241" t="n"/>
      <c r="AD39" s="241" t="n"/>
      <c r="AE39" s="241" t="n"/>
      <c r="AF39" s="241" t="n"/>
      <c r="AG39" s="241" t="n"/>
      <c r="AH39" s="241" t="n"/>
      <c r="AI39" s="241" t="n"/>
      <c r="AJ39" s="241" t="n"/>
      <c r="AK39" s="241" t="n"/>
    </row>
    <row r="40" ht="16" customHeight="1" s="239">
      <c r="A40" s="146" t="inlineStr">
        <is>
          <t>Debt_Draw</t>
        </is>
      </c>
      <c r="B40" s="140">
        <f>IFERROR(IF(B33=1,ASSUMPTIONS!$B$5,0),"")</f>
        <v/>
      </c>
      <c r="C40" s="140">
        <f>IFERROR(IF(C33=1,ASSUMPTIONS!$B$5,0),"")</f>
        <v/>
      </c>
      <c r="D40" s="140">
        <f>IFERROR(IF(D33=1,ASSUMPTIONS!$B$5,0),"")</f>
        <v/>
      </c>
      <c r="E40" s="140">
        <f>IFERROR(IF(E33=1,ASSUMPTIONS!$B$5,0),"")</f>
        <v/>
      </c>
      <c r="F40" s="140">
        <f>IFERROR(IF(F33=1,ASSUMPTIONS!$B$5,0),"")</f>
        <v/>
      </c>
      <c r="G40" s="140">
        <f>IFERROR(IF(G33=1,ASSUMPTIONS!$B$5,0),"")</f>
        <v/>
      </c>
      <c r="H40" s="140">
        <f>IFERROR(IF(H33=1,ASSUMPTIONS!$B$5,0),"")</f>
        <v/>
      </c>
      <c r="I40" s="140">
        <f>IFERROR(IF(I33=1,ASSUMPTIONS!$B$5,0),"")</f>
        <v/>
      </c>
      <c r="J40" s="140">
        <f>IFERROR(IF(J33=1,ASSUMPTIONS!$B$5,0),"")</f>
        <v/>
      </c>
      <c r="K40" s="140">
        <f>IFERROR(IF(K33=1,ASSUMPTIONS!$B$5,0),"")</f>
        <v/>
      </c>
      <c r="L40" s="241" t="n"/>
      <c r="M40" s="241" t="n"/>
      <c r="N40" s="241" t="n"/>
      <c r="O40" s="241" t="n"/>
      <c r="P40" s="241" t="n"/>
      <c r="Q40" s="241" t="n"/>
      <c r="R40" s="241" t="n"/>
      <c r="S40" s="241" t="n"/>
      <c r="T40" s="241" t="n"/>
      <c r="U40" s="241" t="n"/>
      <c r="V40" s="241" t="n"/>
      <c r="W40" s="241" t="n"/>
      <c r="X40" s="241" t="n"/>
      <c r="Y40" s="241" t="n"/>
      <c r="Z40" s="241" t="n"/>
      <c r="AA40" s="241" t="n"/>
      <c r="AB40" s="241" t="n"/>
      <c r="AC40" s="241" t="n"/>
      <c r="AD40" s="241" t="n"/>
      <c r="AE40" s="241" t="n"/>
      <c r="AF40" s="241" t="n"/>
      <c r="AG40" s="241" t="n"/>
      <c r="AH40" s="241" t="n"/>
      <c r="AI40" s="241" t="n"/>
      <c r="AJ40" s="241" t="n"/>
      <c r="AK40" s="241" t="n"/>
    </row>
    <row r="41" ht="16" customHeight="1" s="239">
      <c r="A41" s="146" t="inlineStr">
        <is>
          <t>Debt_Service</t>
        </is>
      </c>
      <c r="B41" s="140">
        <f>IFERROR(FUNDING_DEBT!G557,"")</f>
        <v/>
      </c>
      <c r="C41" s="140">
        <f>IFERROR(FUNDING_DEBT!G558,"")</f>
        <v/>
      </c>
      <c r="D41" s="140">
        <f>IFERROR(FUNDING_DEBT!G559,"")</f>
        <v/>
      </c>
      <c r="E41" s="140">
        <f>IFERROR(FUNDING_DEBT!G560,"")</f>
        <v/>
      </c>
      <c r="F41" s="140">
        <f>IFERROR(FUNDING_DEBT!G561,"")</f>
        <v/>
      </c>
      <c r="G41" s="140">
        <f>IFERROR(FUNDING_DEBT!G562,"")</f>
        <v/>
      </c>
      <c r="H41" s="140">
        <f>IFERROR(FUNDING_DEBT!G563,"")</f>
        <v/>
      </c>
      <c r="I41" s="140">
        <f>IFERROR(FUNDING_DEBT!G564,"")</f>
        <v/>
      </c>
      <c r="J41" s="140">
        <f>IFERROR(FUNDING_DEBT!G565,"")</f>
        <v/>
      </c>
      <c r="K41" s="140">
        <f>IFERROR(FUNDING_DEBT!G566,"")</f>
        <v/>
      </c>
      <c r="L41" s="241" t="n"/>
      <c r="M41" s="241" t="n"/>
      <c r="N41" s="241" t="n"/>
      <c r="O41" s="241" t="n"/>
      <c r="P41" s="241" t="n"/>
      <c r="Q41" s="241" t="n"/>
      <c r="R41" s="241" t="n"/>
      <c r="S41" s="241" t="n"/>
      <c r="T41" s="241" t="n"/>
      <c r="U41" s="241" t="n"/>
      <c r="V41" s="241" t="n"/>
      <c r="W41" s="241" t="n"/>
      <c r="X41" s="241" t="n"/>
      <c r="Y41" s="241" t="n"/>
      <c r="Z41" s="241" t="n"/>
      <c r="AA41" s="241" t="n"/>
      <c r="AB41" s="241" t="n"/>
      <c r="AC41" s="241" t="n"/>
      <c r="AD41" s="241" t="n"/>
      <c r="AE41" s="241" t="n"/>
      <c r="AF41" s="241" t="n"/>
      <c r="AG41" s="241" t="n"/>
      <c r="AH41" s="241" t="n"/>
      <c r="AI41" s="241" t="n"/>
      <c r="AJ41" s="241" t="n"/>
      <c r="AK41" s="241" t="n"/>
    </row>
    <row r="42" ht="16" customHeight="1" s="239">
      <c r="A42" s="146" t="inlineStr">
        <is>
          <t>Cash_Equity</t>
        </is>
      </c>
      <c r="B42" s="140">
        <f>IFERROR(IF(B33=1,ASSUMPTIONS!$B$11,IF(B33=2,ASSUMPTIONS!$B$12,0)),"")</f>
        <v/>
      </c>
      <c r="C42" s="140">
        <f>IFERROR(IF(C33=1,ASSUMPTIONS!$B$11,IF(C33=2,ASSUMPTIONS!$B$12,0)),"")</f>
        <v/>
      </c>
      <c r="D42" s="140">
        <f>IFERROR(IF(D33=1,ASSUMPTIONS!$B$11,IF(D33=2,ASSUMPTIONS!$B$12,0)),"")</f>
        <v/>
      </c>
      <c r="E42" s="140">
        <f>IFERROR(IF(E33=1,ASSUMPTIONS!$B$11,IF(E33=2,ASSUMPTIONS!$B$12,0)),"")</f>
        <v/>
      </c>
      <c r="F42" s="140">
        <f>IFERROR(IF(F33=1,ASSUMPTIONS!$B$11,IF(F33=2,ASSUMPTIONS!$B$12,0)),"")</f>
        <v/>
      </c>
      <c r="G42" s="140">
        <f>IFERROR(IF(G33=1,ASSUMPTIONS!$B$11,IF(G33=2,ASSUMPTIONS!$B$12,0)),"")</f>
        <v/>
      </c>
      <c r="H42" s="140">
        <f>IFERROR(IF(H33=1,ASSUMPTIONS!$B$11,IF(H33=2,ASSUMPTIONS!$B$12,0)),"")</f>
        <v/>
      </c>
      <c r="I42" s="140">
        <f>IFERROR(IF(I33=1,ASSUMPTIONS!$B$11,IF(I33=2,ASSUMPTIONS!$B$12,0)),"")</f>
        <v/>
      </c>
      <c r="J42" s="140">
        <f>IFERROR(IF(J33=1,ASSUMPTIONS!$B$11,IF(J33=2,ASSUMPTIONS!$B$12,0)),"")</f>
        <v/>
      </c>
      <c r="K42" s="140">
        <f>IFERROR(IF(K33=1,ASSUMPTIONS!$B$11,IF(K33=2,ASSUMPTIONS!$B$12,0)),"")</f>
        <v/>
      </c>
      <c r="L42" s="241" t="n"/>
      <c r="M42" s="241" t="n"/>
      <c r="N42" s="241" t="n"/>
      <c r="O42" s="241" t="n"/>
      <c r="P42" s="241" t="n"/>
      <c r="Q42" s="241" t="n"/>
      <c r="R42" s="241" t="n"/>
      <c r="S42" s="241" t="n"/>
      <c r="T42" s="241" t="n"/>
      <c r="U42" s="241" t="n"/>
      <c r="V42" s="241" t="n"/>
      <c r="W42" s="241" t="n"/>
      <c r="X42" s="241" t="n"/>
      <c r="Y42" s="241" t="n"/>
      <c r="Z42" s="241" t="n"/>
      <c r="AA42" s="241" t="n"/>
      <c r="AB42" s="241" t="n"/>
      <c r="AC42" s="241" t="n"/>
      <c r="AD42" s="241" t="n"/>
      <c r="AE42" s="241" t="n"/>
      <c r="AF42" s="241" t="n"/>
      <c r="AG42" s="241" t="n"/>
      <c r="AH42" s="241" t="n"/>
      <c r="AI42" s="241" t="n"/>
      <c r="AJ42" s="241" t="n"/>
      <c r="AK42" s="241" t="n"/>
    </row>
    <row r="43" ht="16" customHeight="1" s="239">
      <c r="A43" s="146" t="inlineStr">
        <is>
          <t>Net_Cash_Flow</t>
        </is>
      </c>
      <c r="B43" s="140">
        <f>IFERROR(B154,"")</f>
        <v/>
      </c>
      <c r="C43" s="140">
        <f>IFERROR(C154,"")</f>
        <v/>
      </c>
      <c r="D43" s="140">
        <f>IFERROR(D154,"")</f>
        <v/>
      </c>
      <c r="E43" s="140">
        <f>IFERROR(E154,"")</f>
        <v/>
      </c>
      <c r="F43" s="140">
        <f>IFERROR(F154,"")</f>
        <v/>
      </c>
      <c r="G43" s="140">
        <f>IFERROR(G154,"")</f>
        <v/>
      </c>
      <c r="H43" s="140">
        <f>IFERROR(H154,"")</f>
        <v/>
      </c>
      <c r="I43" s="140">
        <f>IFERROR(I154,"")</f>
        <v/>
      </c>
      <c r="J43" s="140">
        <f>IFERROR(J154,"")</f>
        <v/>
      </c>
      <c r="K43" s="140">
        <f>IFERROR(K154,"")</f>
        <v/>
      </c>
      <c r="L43" s="241" t="n"/>
      <c r="M43" s="241" t="n"/>
      <c r="N43" s="241" t="n"/>
      <c r="O43" s="241" t="n"/>
      <c r="P43" s="241" t="n"/>
      <c r="Q43" s="241" t="n"/>
      <c r="R43" s="241" t="n"/>
      <c r="S43" s="241" t="n"/>
      <c r="T43" s="241" t="n"/>
      <c r="U43" s="241" t="n"/>
      <c r="V43" s="241" t="n"/>
      <c r="W43" s="241" t="n"/>
      <c r="X43" s="241" t="n"/>
      <c r="Y43" s="241" t="n"/>
      <c r="Z43" s="241" t="n"/>
      <c r="AA43" s="241" t="n"/>
      <c r="AB43" s="241" t="n"/>
      <c r="AC43" s="241" t="n"/>
      <c r="AD43" s="241" t="n"/>
      <c r="AE43" s="241" t="n"/>
      <c r="AF43" s="241" t="n"/>
      <c r="AG43" s="241" t="n"/>
      <c r="AH43" s="241" t="n"/>
      <c r="AI43" s="241" t="n"/>
      <c r="AJ43" s="241" t="n"/>
      <c r="AK43" s="241" t="n"/>
    </row>
    <row r="44" ht="16" customHeight="1" s="239">
      <c r="A44" s="146" t="inlineStr">
        <is>
          <t>Ending_Cash</t>
        </is>
      </c>
      <c r="B44" s="140">
        <f>IFERROR(B43,"")</f>
        <v/>
      </c>
      <c r="C44" s="140">
        <f>IFERROR(B44+C43,"")</f>
        <v/>
      </c>
      <c r="D44" s="140">
        <f>IFERROR(C44+D43,"")</f>
        <v/>
      </c>
      <c r="E44" s="140">
        <f>IFERROR(D44+E43,"")</f>
        <v/>
      </c>
      <c r="F44" s="140">
        <f>IFERROR(E44+F43,"")</f>
        <v/>
      </c>
      <c r="G44" s="140">
        <f>IFERROR(F44+G43,"")</f>
        <v/>
      </c>
      <c r="H44" s="140">
        <f>IFERROR(G44+H43,"")</f>
        <v/>
      </c>
      <c r="I44" s="140">
        <f>IFERROR(H44+I43,"")</f>
        <v/>
      </c>
      <c r="J44" s="140">
        <f>IFERROR(I44+J43,"")</f>
        <v/>
      </c>
      <c r="K44" s="140">
        <f>IFERROR(J44+K43,"")</f>
        <v/>
      </c>
      <c r="L44" s="241" t="n"/>
      <c r="M44" s="241" t="n"/>
      <c r="N44" s="241" t="n"/>
      <c r="O44" s="241" t="n"/>
      <c r="P44" s="241" t="n"/>
      <c r="Q44" s="241" t="n"/>
      <c r="R44" s="241" t="n"/>
      <c r="S44" s="241" t="n"/>
      <c r="T44" s="241" t="n"/>
      <c r="U44" s="241" t="n"/>
      <c r="V44" s="241" t="n"/>
      <c r="W44" s="241" t="n"/>
      <c r="X44" s="241" t="n"/>
      <c r="Y44" s="241" t="n"/>
      <c r="Z44" s="241" t="n"/>
      <c r="AA44" s="241" t="n"/>
      <c r="AB44" s="241" t="n"/>
      <c r="AC44" s="241" t="n"/>
      <c r="AD44" s="241" t="n"/>
      <c r="AE44" s="241" t="n"/>
      <c r="AF44" s="241" t="n"/>
      <c r="AG44" s="241" t="n"/>
      <c r="AH44" s="241" t="n"/>
      <c r="AI44" s="241" t="n"/>
      <c r="AJ44" s="241" t="n"/>
      <c r="AK44" s="241" t="n"/>
    </row>
    <row r="45">
      <c r="A45" s="241" t="n"/>
      <c r="B45" s="241" t="n"/>
      <c r="C45" s="241" t="n"/>
      <c r="D45" s="241" t="n"/>
      <c r="E45" s="241" t="n"/>
      <c r="F45" s="241" t="n"/>
      <c r="G45" s="241" t="n"/>
      <c r="H45" s="241" t="n"/>
      <c r="I45" s="241" t="n"/>
      <c r="J45" s="241" t="n"/>
      <c r="K45" s="241" t="n"/>
      <c r="L45" s="241" t="n"/>
      <c r="M45" s="241" t="n"/>
      <c r="N45" s="241" t="n"/>
      <c r="O45" s="241" t="n"/>
      <c r="P45" s="241" t="n"/>
      <c r="Q45" s="241" t="n"/>
      <c r="R45" s="241" t="n"/>
      <c r="S45" s="241" t="n"/>
      <c r="T45" s="241" t="n"/>
      <c r="U45" s="241" t="n"/>
      <c r="V45" s="241" t="n"/>
      <c r="W45" s="241" t="n"/>
      <c r="X45" s="241" t="n"/>
      <c r="Y45" s="241" t="n"/>
      <c r="Z45" s="241" t="n"/>
      <c r="AA45" s="241" t="n"/>
      <c r="AB45" s="241" t="n"/>
      <c r="AC45" s="241" t="n"/>
      <c r="AD45" s="241" t="n"/>
      <c r="AE45" s="241" t="n"/>
      <c r="AF45" s="241" t="n"/>
      <c r="AG45" s="241" t="n"/>
      <c r="AH45" s="241" t="n"/>
      <c r="AI45" s="241" t="n"/>
      <c r="AJ45" s="241" t="n"/>
      <c r="AK45" s="241" t="n"/>
    </row>
    <row r="46">
      <c r="A46" s="241" t="n"/>
      <c r="B46" s="241" t="n"/>
      <c r="C46" s="241" t="n"/>
      <c r="D46" s="241" t="n"/>
      <c r="E46" s="241" t="n"/>
      <c r="F46" s="241" t="n"/>
      <c r="G46" s="241" t="n"/>
      <c r="H46" s="241" t="n"/>
      <c r="I46" s="241" t="n"/>
      <c r="J46" s="241" t="n"/>
      <c r="K46" s="241" t="n"/>
      <c r="L46" s="241" t="n"/>
      <c r="M46" s="241" t="n"/>
      <c r="N46" s="241" t="n"/>
      <c r="O46" s="241" t="n"/>
      <c r="P46" s="241" t="n"/>
      <c r="Q46" s="241" t="n"/>
      <c r="R46" s="241" t="n"/>
      <c r="S46" s="241" t="n"/>
      <c r="T46" s="241" t="n"/>
      <c r="U46" s="241" t="n"/>
      <c r="V46" s="241" t="n"/>
      <c r="W46" s="241" t="n"/>
      <c r="X46" s="241" t="n"/>
      <c r="Y46" s="241" t="n"/>
      <c r="Z46" s="241" t="n"/>
      <c r="AA46" s="241" t="n"/>
      <c r="AB46" s="241" t="n"/>
      <c r="AC46" s="241" t="n"/>
      <c r="AD46" s="241" t="n"/>
      <c r="AE46" s="241" t="n"/>
      <c r="AF46" s="241" t="n"/>
      <c r="AG46" s="241" t="n"/>
      <c r="AH46" s="241" t="n"/>
      <c r="AI46" s="241" t="n"/>
      <c r="AJ46" s="241" t="n"/>
      <c r="AK46" s="241" t="n"/>
    </row>
    <row r="47" ht="32" customHeight="1" s="239">
      <c r="A47" s="141" t="inlineStr">
        <is>
          <t>Business Unit CFADS / Segment Cash Flow</t>
        </is>
      </c>
      <c r="B47" s="142" t="n"/>
      <c r="C47" s="142" t="n"/>
      <c r="D47" s="142" t="n"/>
      <c r="E47" s="142" t="n"/>
      <c r="F47" s="142" t="n"/>
      <c r="G47" s="142" t="n"/>
      <c r="H47" s="142" t="n"/>
      <c r="I47" s="241" t="n"/>
      <c r="J47" s="241" t="n"/>
      <c r="K47" s="241" t="n"/>
      <c r="L47" s="241" t="n"/>
      <c r="M47" s="241" t="n"/>
      <c r="N47" s="241" t="n"/>
      <c r="O47" s="241" t="n"/>
      <c r="P47" s="241" t="n"/>
      <c r="Q47" s="241" t="n"/>
      <c r="R47" s="241" t="n"/>
      <c r="S47" s="241" t="n"/>
      <c r="T47" s="241" t="n"/>
      <c r="U47" s="241" t="n"/>
      <c r="V47" s="241" t="n"/>
      <c r="W47" s="241" t="n"/>
      <c r="X47" s="241" t="n"/>
      <c r="Y47" s="241" t="n"/>
      <c r="Z47" s="241" t="n"/>
      <c r="AA47" s="241" t="n"/>
      <c r="AB47" s="241" t="n"/>
      <c r="AC47" s="241" t="n"/>
      <c r="AD47" s="241" t="n"/>
      <c r="AE47" s="241" t="n"/>
      <c r="AF47" s="241" t="n"/>
      <c r="AG47" s="241" t="n"/>
      <c r="AH47" s="241" t="n"/>
      <c r="AI47" s="241" t="n"/>
      <c r="AJ47" s="241" t="n"/>
      <c r="AK47" s="241" t="n"/>
    </row>
    <row r="48" ht="22" customHeight="1" s="239">
      <c r="A48" s="253" t="inlineStr">
        <is>
          <t>Segment Cash Flow</t>
        </is>
      </c>
      <c r="B48" s="241" t="n"/>
      <c r="C48" s="241" t="n"/>
      <c r="D48" s="241" t="n"/>
      <c r="E48" s="241" t="n"/>
      <c r="F48" s="241" t="n"/>
      <c r="G48" s="241" t="n"/>
      <c r="H48" s="241" t="n"/>
      <c r="I48" s="241" t="n"/>
      <c r="J48" s="241" t="n"/>
      <c r="K48" s="241" t="n"/>
      <c r="L48" s="241" t="n"/>
      <c r="M48" s="241" t="n"/>
      <c r="N48" s="241" t="n"/>
      <c r="O48" s="241" t="n"/>
      <c r="P48" s="241" t="n"/>
      <c r="Q48" s="241" t="n"/>
      <c r="R48" s="241" t="n"/>
      <c r="S48" s="241" t="n"/>
      <c r="T48" s="241" t="n"/>
      <c r="U48" s="241" t="n"/>
      <c r="V48" s="241" t="n"/>
      <c r="W48" s="241" t="n"/>
      <c r="X48" s="241" t="n"/>
      <c r="Y48" s="241" t="n"/>
      <c r="Z48" s="241" t="n"/>
      <c r="AA48" s="241" t="n"/>
      <c r="AB48" s="241" t="n"/>
      <c r="AC48" s="241" t="n"/>
      <c r="AD48" s="241" t="n"/>
      <c r="AE48" s="241" t="n"/>
      <c r="AF48" s="241" t="n"/>
      <c r="AG48" s="241" t="n"/>
      <c r="AH48" s="241" t="n"/>
      <c r="AI48" s="241" t="n"/>
      <c r="AJ48" s="241" t="n"/>
      <c r="AK48" s="241" t="n"/>
    </row>
    <row r="49" ht="48" customHeight="1" s="239">
      <c r="A49" s="257" t="inlineStr">
        <is>
          <t>Segment EBITDA, working capital, CAPEX, CFADS, debt service capacity, and ending cash.</t>
        </is>
      </c>
      <c r="B49" s="241" t="n"/>
      <c r="C49" s="241" t="n"/>
      <c r="D49" s="241" t="n"/>
      <c r="E49" s="241" t="n"/>
      <c r="F49" s="241" t="n"/>
      <c r="G49" s="241" t="n"/>
      <c r="H49" s="241" t="n"/>
      <c r="I49" s="241" t="n"/>
      <c r="J49" s="241" t="n"/>
      <c r="K49" s="241" t="n"/>
      <c r="L49" s="241" t="n"/>
      <c r="M49" s="241" t="n"/>
      <c r="N49" s="241" t="n"/>
      <c r="O49" s="241" t="n"/>
      <c r="P49" s="241" t="n"/>
      <c r="Q49" s="241" t="n"/>
      <c r="R49" s="241" t="n"/>
      <c r="S49" s="241" t="n"/>
      <c r="T49" s="241" t="n"/>
      <c r="U49" s="241" t="n"/>
      <c r="V49" s="241" t="n"/>
      <c r="W49" s="241" t="n"/>
      <c r="X49" s="241" t="n"/>
      <c r="Y49" s="241" t="n"/>
      <c r="Z49" s="241" t="n"/>
      <c r="AA49" s="241" t="n"/>
      <c r="AB49" s="241" t="n"/>
      <c r="AC49" s="241" t="n"/>
      <c r="AD49" s="241" t="n"/>
      <c r="AE49" s="241" t="n"/>
      <c r="AF49" s="241" t="n"/>
      <c r="AG49" s="241" t="n"/>
      <c r="AH49" s="241" t="n"/>
      <c r="AI49" s="241" t="n"/>
      <c r="AJ49" s="241" t="n"/>
      <c r="AK49" s="241" t="n"/>
    </row>
    <row r="50" ht="16" customHeight="1" s="239">
      <c r="A50" s="154" t="inlineStr">
        <is>
          <t>Year</t>
        </is>
      </c>
      <c r="B50" s="154" t="inlineStr">
        <is>
          <t>Metric</t>
        </is>
      </c>
      <c r="C50" s="154" t="inlineStr">
        <is>
          <t>Feed Farm</t>
        </is>
      </c>
      <c r="D50" s="154" t="inlineStr">
        <is>
          <t>Dairy</t>
        </is>
      </c>
      <c r="E50" s="154" t="inlineStr">
        <is>
          <t>Bull Fattening</t>
        </is>
      </c>
      <c r="F50" s="154" t="inlineStr">
        <is>
          <t>Logistics</t>
        </is>
      </c>
      <c r="G50" s="154" t="inlineStr">
        <is>
          <t>Consolidated</t>
        </is>
      </c>
      <c r="H50" s="154" t="inlineStr">
        <is>
          <t>Notes</t>
        </is>
      </c>
      <c r="I50" s="241" t="n"/>
      <c r="J50" s="241" t="n"/>
      <c r="K50" s="241" t="n"/>
      <c r="L50" s="241" t="n"/>
      <c r="M50" s="241" t="n"/>
      <c r="N50" s="241" t="n"/>
      <c r="O50" s="241" t="n"/>
      <c r="P50" s="241" t="n"/>
      <c r="Q50" s="241" t="n"/>
      <c r="R50" s="241" t="n"/>
      <c r="S50" s="241" t="n"/>
      <c r="T50" s="241" t="n"/>
      <c r="U50" s="241" t="n"/>
      <c r="V50" s="241" t="n"/>
      <c r="W50" s="241" t="n"/>
      <c r="X50" s="241" t="n"/>
      <c r="Y50" s="241" t="n"/>
      <c r="Z50" s="241" t="n"/>
      <c r="AA50" s="241" t="n"/>
      <c r="AB50" s="241" t="n"/>
      <c r="AC50" s="241" t="n"/>
      <c r="AD50" s="241" t="n"/>
      <c r="AE50" s="241" t="n"/>
      <c r="AF50" s="241" t="n"/>
      <c r="AG50" s="241" t="n"/>
      <c r="AH50" s="241" t="n"/>
      <c r="AI50" s="241" t="n"/>
      <c r="AJ50" s="241" t="n"/>
      <c r="AK50" s="241" t="n"/>
    </row>
    <row r="51" ht="16" customHeight="1" s="239">
      <c r="A51" s="140" t="n">
        <v>1</v>
      </c>
      <c r="B51" s="241" t="inlineStr">
        <is>
          <t>EBITDA</t>
        </is>
      </c>
      <c r="C51" s="140">
        <f>IFERROR(FEED_FARM!B22,"")</f>
        <v/>
      </c>
      <c r="D51" s="140">
        <f>IFERROR(DAIRY!B15,"")</f>
        <v/>
      </c>
      <c r="E51" s="140">
        <f>IFERROR(FATTENING!B20,"")</f>
        <v/>
      </c>
      <c r="F51" s="140">
        <f>IFERROR(LOGISTICS!B11,"")</f>
        <v/>
      </c>
      <c r="G51" s="140">
        <f>IFERROR(SUM(C51:F51),"")</f>
        <v/>
      </c>
      <c r="H51" s="241" t="n"/>
      <c r="I51" s="241" t="n"/>
      <c r="J51" s="241" t="n"/>
      <c r="K51" s="241" t="n"/>
      <c r="L51" s="241" t="n"/>
      <c r="M51" s="241" t="n"/>
      <c r="N51" s="241" t="n"/>
      <c r="O51" s="241" t="n"/>
      <c r="P51" s="241" t="n"/>
      <c r="Q51" s="241" t="n"/>
      <c r="R51" s="241" t="n"/>
      <c r="S51" s="241" t="n"/>
      <c r="T51" s="241" t="n"/>
      <c r="U51" s="241" t="n"/>
      <c r="V51" s="241" t="n"/>
      <c r="W51" s="241" t="n"/>
      <c r="X51" s="241" t="n"/>
      <c r="Y51" s="241" t="n"/>
      <c r="Z51" s="241" t="n"/>
      <c r="AA51" s="241" t="n"/>
      <c r="AB51" s="241" t="n"/>
      <c r="AC51" s="241" t="n"/>
      <c r="AD51" s="241" t="n"/>
      <c r="AE51" s="241" t="n"/>
      <c r="AF51" s="241" t="n"/>
      <c r="AG51" s="241" t="n"/>
      <c r="AH51" s="241" t="n"/>
      <c r="AI51" s="241" t="n"/>
      <c r="AJ51" s="241" t="n"/>
      <c r="AK51" s="241" t="n"/>
    </row>
    <row r="52" ht="32" customHeight="1" s="239">
      <c r="A52" s="140" t="n">
        <v>1</v>
      </c>
      <c r="B52" s="241" t="inlineStr">
        <is>
          <t>Working Capital</t>
        </is>
      </c>
      <c r="C52" s="140">
        <f>IFERROR(WORKING_CAPITAL!B$16,"")</f>
        <v/>
      </c>
      <c r="D52" s="140">
        <f>IFERROR(WORKING_CAPITAL!B$20,"")</f>
        <v/>
      </c>
      <c r="E52" s="140">
        <f>IFERROR(WORKING_CAPITAL!B$21,"")</f>
        <v/>
      </c>
      <c r="F52" s="140">
        <f>IFERROR(WORKING_CAPITAL!B$22,"")</f>
        <v/>
      </c>
      <c r="G52" s="140">
        <f>IFERROR(SUM(C52:F52),"")</f>
        <v/>
      </c>
      <c r="H52" s="241" t="n"/>
      <c r="I52" s="241" t="n"/>
      <c r="J52" s="241" t="n"/>
      <c r="K52" s="241" t="n"/>
      <c r="L52" s="241" t="n"/>
      <c r="M52" s="241" t="n"/>
      <c r="N52" s="241" t="n"/>
      <c r="O52" s="241" t="n"/>
      <c r="P52" s="241" t="n"/>
      <c r="Q52" s="241" t="n"/>
      <c r="R52" s="241" t="n"/>
      <c r="S52" s="241" t="n"/>
      <c r="T52" s="241" t="n"/>
      <c r="U52" s="241" t="n"/>
      <c r="V52" s="241" t="n"/>
      <c r="W52" s="241" t="n"/>
      <c r="X52" s="241" t="n"/>
      <c r="Y52" s="241" t="n"/>
      <c r="Z52" s="241" t="n"/>
      <c r="AA52" s="241" t="n"/>
      <c r="AB52" s="241" t="n"/>
      <c r="AC52" s="241" t="n"/>
      <c r="AD52" s="241" t="n"/>
      <c r="AE52" s="241" t="n"/>
      <c r="AF52" s="241" t="n"/>
      <c r="AG52" s="241" t="n"/>
      <c r="AH52" s="241" t="n"/>
      <c r="AI52" s="241" t="n"/>
      <c r="AJ52" s="241" t="n"/>
      <c r="AK52" s="241" t="n"/>
    </row>
    <row r="53" ht="32" customHeight="1" s="239">
      <c r="A53" s="140" t="n">
        <v>1</v>
      </c>
      <c r="B53" s="241" t="inlineStr">
        <is>
          <t>Maintenance CAPEX</t>
        </is>
      </c>
      <c r="C53" s="140">
        <f>IFERROR(CAPEX!D$11*0.03,"")</f>
        <v/>
      </c>
      <c r="D53" s="140">
        <f>IFERROR(CAPEX!D$11*0.07,"")</f>
        <v/>
      </c>
      <c r="E53" s="140">
        <f>IFERROR(CAPEX!D$11*0.02,"")</f>
        <v/>
      </c>
      <c r="F53" s="140">
        <f>IFERROR(CAPEX!D$11*0.03,"")</f>
        <v/>
      </c>
      <c r="G53" s="140">
        <f>IFERROR(SUM(C53:F53),"")</f>
        <v/>
      </c>
      <c r="H53" s="241" t="n"/>
      <c r="I53" s="241" t="n"/>
      <c r="J53" s="241" t="n"/>
      <c r="K53" s="241" t="n"/>
      <c r="L53" s="241" t="n"/>
      <c r="M53" s="241" t="n"/>
      <c r="N53" s="241" t="n"/>
      <c r="O53" s="241" t="n"/>
      <c r="P53" s="241" t="n"/>
      <c r="Q53" s="241" t="n"/>
      <c r="R53" s="241" t="n"/>
      <c r="S53" s="241" t="n"/>
      <c r="T53" s="241" t="n"/>
      <c r="U53" s="241" t="n"/>
      <c r="V53" s="241" t="n"/>
      <c r="W53" s="241" t="n"/>
      <c r="X53" s="241" t="n"/>
      <c r="Y53" s="241" t="n"/>
      <c r="Z53" s="241" t="n"/>
      <c r="AA53" s="241" t="n"/>
      <c r="AB53" s="241" t="n"/>
      <c r="AC53" s="241" t="n"/>
      <c r="AD53" s="241" t="n"/>
      <c r="AE53" s="241" t="n"/>
      <c r="AF53" s="241" t="n"/>
      <c r="AG53" s="241" t="n"/>
      <c r="AH53" s="241" t="n"/>
      <c r="AI53" s="241" t="n"/>
      <c r="AJ53" s="241" t="n"/>
      <c r="AK53" s="241" t="n"/>
    </row>
    <row r="54" ht="32" customHeight="1" s="239">
      <c r="A54" s="140" t="n">
        <v>1</v>
      </c>
      <c r="B54" s="241" t="inlineStr">
        <is>
          <t>Expansion CAPEX</t>
        </is>
      </c>
      <c r="C54" s="140">
        <f>IFERROR(CAPEX!D$11*0.15,"")</f>
        <v/>
      </c>
      <c r="D54" s="140">
        <f>IFERROR(CAPEX!D$11*0.7,"")</f>
        <v/>
      </c>
      <c r="E54" s="140">
        <f>IFERROR(CAPEX!D$11*0.05,"")</f>
        <v/>
      </c>
      <c r="F54" s="140">
        <f>IFERROR(CAPEX!D$11*0.1,"")</f>
        <v/>
      </c>
      <c r="G54" s="140">
        <f>IFERROR(SUM(C54:F54),"")</f>
        <v/>
      </c>
      <c r="H54" s="241" t="n"/>
      <c r="I54" s="241" t="n"/>
      <c r="J54" s="241" t="n"/>
      <c r="K54" s="241" t="n"/>
      <c r="L54" s="241" t="n"/>
      <c r="M54" s="241" t="n"/>
      <c r="N54" s="241" t="n"/>
      <c r="O54" s="241" t="n"/>
      <c r="P54" s="241" t="n"/>
      <c r="Q54" s="241" t="n"/>
      <c r="R54" s="241" t="n"/>
      <c r="S54" s="241" t="n"/>
      <c r="T54" s="241" t="n"/>
      <c r="U54" s="241" t="n"/>
      <c r="V54" s="241" t="n"/>
      <c r="W54" s="241" t="n"/>
      <c r="X54" s="241" t="n"/>
      <c r="Y54" s="241" t="n"/>
      <c r="Z54" s="241" t="n"/>
      <c r="AA54" s="241" t="n"/>
      <c r="AB54" s="241" t="n"/>
      <c r="AC54" s="241" t="n"/>
      <c r="AD54" s="241" t="n"/>
      <c r="AE54" s="241" t="n"/>
      <c r="AF54" s="241" t="n"/>
      <c r="AG54" s="241" t="n"/>
      <c r="AH54" s="241" t="n"/>
      <c r="AI54" s="241" t="n"/>
      <c r="AJ54" s="241" t="n"/>
      <c r="AK54" s="241" t="n"/>
    </row>
    <row r="55" ht="32" customHeight="1" s="239">
      <c r="A55" s="158" t="n">
        <v>1</v>
      </c>
      <c r="B55" s="157" t="inlineStr">
        <is>
          <t>Operating Cash Flow</t>
        </is>
      </c>
      <c r="C55" s="158">
        <f>IFERROR(C51-C52,"")</f>
        <v/>
      </c>
      <c r="D55" s="158">
        <f>IFERROR(D51-D52,"")</f>
        <v/>
      </c>
      <c r="E55" s="158">
        <f>IFERROR(E51-E52,"")</f>
        <v/>
      </c>
      <c r="F55" s="158">
        <f>IFERROR(F51-F52,"")</f>
        <v/>
      </c>
      <c r="G55" s="158">
        <f>IFERROR(SUM(C55:F55),"")</f>
        <v/>
      </c>
      <c r="H55" s="157" t="n"/>
      <c r="I55" s="241" t="n"/>
      <c r="J55" s="241" t="n"/>
      <c r="K55" s="241" t="n"/>
      <c r="L55" s="241" t="n"/>
      <c r="M55" s="241" t="n"/>
      <c r="N55" s="241" t="n"/>
      <c r="O55" s="241" t="n"/>
      <c r="P55" s="241" t="n"/>
      <c r="Q55" s="241" t="n"/>
      <c r="R55" s="241" t="n"/>
      <c r="S55" s="241" t="n"/>
      <c r="T55" s="241" t="n"/>
      <c r="U55" s="241" t="n"/>
      <c r="V55" s="241" t="n"/>
      <c r="W55" s="241" t="n"/>
      <c r="X55" s="241" t="n"/>
      <c r="Y55" s="241" t="n"/>
      <c r="Z55" s="241" t="n"/>
      <c r="AA55" s="241" t="n"/>
      <c r="AB55" s="241" t="n"/>
      <c r="AC55" s="241" t="n"/>
      <c r="AD55" s="241" t="n"/>
      <c r="AE55" s="241" t="n"/>
      <c r="AF55" s="241" t="n"/>
      <c r="AG55" s="241" t="n"/>
      <c r="AH55" s="241" t="n"/>
      <c r="AI55" s="241" t="n"/>
      <c r="AJ55" s="241" t="n"/>
      <c r="AK55" s="241" t="n"/>
    </row>
    <row r="56" ht="32" customHeight="1" s="239">
      <c r="A56" s="158" t="n">
        <v>1</v>
      </c>
      <c r="B56" s="157" t="inlineStr">
        <is>
          <t>Free Cash Flow</t>
        </is>
      </c>
      <c r="C56" s="158">
        <f>IFERROR(C55-C53-C54,"")</f>
        <v/>
      </c>
      <c r="D56" s="158">
        <f>IFERROR(D55-D53-D54,"")</f>
        <v/>
      </c>
      <c r="E56" s="158">
        <f>IFERROR(E55-E53-E54,"")</f>
        <v/>
      </c>
      <c r="F56" s="158">
        <f>IFERROR(F55-F53-F54,"")</f>
        <v/>
      </c>
      <c r="G56" s="158">
        <f>IFERROR(SUM(C56:F56),"")</f>
        <v/>
      </c>
      <c r="H56" s="157" t="n"/>
      <c r="I56" s="241" t="n"/>
      <c r="J56" s="241" t="n"/>
      <c r="K56" s="241" t="n"/>
      <c r="L56" s="241" t="n"/>
      <c r="M56" s="241" t="n"/>
      <c r="N56" s="241" t="n"/>
      <c r="O56" s="241" t="n"/>
      <c r="P56" s="241" t="n"/>
      <c r="Q56" s="241" t="n"/>
      <c r="R56" s="241" t="n"/>
      <c r="S56" s="241" t="n"/>
      <c r="T56" s="241" t="n"/>
      <c r="U56" s="241" t="n"/>
      <c r="V56" s="241" t="n"/>
      <c r="W56" s="241" t="n"/>
      <c r="X56" s="241" t="n"/>
      <c r="Y56" s="241" t="n"/>
      <c r="Z56" s="241" t="n"/>
      <c r="AA56" s="241" t="n"/>
      <c r="AB56" s="241" t="n"/>
      <c r="AC56" s="241" t="n"/>
      <c r="AD56" s="241" t="n"/>
      <c r="AE56" s="241" t="n"/>
      <c r="AF56" s="241" t="n"/>
      <c r="AG56" s="241" t="n"/>
      <c r="AH56" s="241" t="n"/>
      <c r="AI56" s="241" t="n"/>
      <c r="AJ56" s="241" t="n"/>
      <c r="AK56" s="241" t="n"/>
    </row>
    <row r="57" ht="16" customHeight="1" s="239">
      <c r="A57" s="158" t="n">
        <v>1</v>
      </c>
      <c r="B57" s="157" t="inlineStr">
        <is>
          <t>CFADS</t>
        </is>
      </c>
      <c r="C57" s="158">
        <f>IFERROR(FEED_FARM!B23,"")</f>
        <v/>
      </c>
      <c r="D57" s="158">
        <f>IFERROR(DAIRY!B16,"")</f>
        <v/>
      </c>
      <c r="E57" s="158">
        <f>IFERROR(FATTENING!B21,"")</f>
        <v/>
      </c>
      <c r="F57" s="158">
        <f>IFERROR(LOGISTICS!B12,"")</f>
        <v/>
      </c>
      <c r="G57" s="158">
        <f>IFERROR(SUM(C57:F57),"")</f>
        <v/>
      </c>
      <c r="H57" s="157" t="n"/>
      <c r="I57" s="241" t="n"/>
      <c r="J57" s="241" t="n"/>
      <c r="K57" s="241" t="n"/>
      <c r="L57" s="241" t="n"/>
      <c r="M57" s="241" t="n"/>
      <c r="N57" s="241" t="n"/>
      <c r="O57" s="241" t="n"/>
      <c r="P57" s="241" t="n"/>
      <c r="Q57" s="241" t="n"/>
      <c r="R57" s="241" t="n"/>
      <c r="S57" s="241" t="n"/>
      <c r="T57" s="241" t="n"/>
      <c r="U57" s="241" t="n"/>
      <c r="V57" s="241" t="n"/>
      <c r="W57" s="241" t="n"/>
      <c r="X57" s="241" t="n"/>
      <c r="Y57" s="241" t="n"/>
      <c r="Z57" s="241" t="n"/>
      <c r="AA57" s="241" t="n"/>
      <c r="AB57" s="241" t="n"/>
      <c r="AC57" s="241" t="n"/>
      <c r="AD57" s="241" t="n"/>
      <c r="AE57" s="241" t="n"/>
      <c r="AF57" s="241" t="n"/>
      <c r="AG57" s="241" t="n"/>
      <c r="AH57" s="241" t="n"/>
      <c r="AI57" s="241" t="n"/>
      <c r="AJ57" s="241" t="n"/>
      <c r="AK57" s="241" t="n"/>
    </row>
    <row r="58" ht="32" customHeight="1" s="239">
      <c r="A58" s="140" t="n">
        <v>1</v>
      </c>
      <c r="B58" s="241" t="inlineStr">
        <is>
          <t>Debt Service Capacity</t>
        </is>
      </c>
      <c r="C58" s="140">
        <f>IFERROR(C57/ASSUMPTIONS!$B$16,0)</f>
        <v/>
      </c>
      <c r="D58" s="140">
        <f>IFERROR(D57/ASSUMPTIONS!$B$16,0)</f>
        <v/>
      </c>
      <c r="E58" s="140">
        <f>IFERROR(E57/ASSUMPTIONS!$B$16,0)</f>
        <v/>
      </c>
      <c r="F58" s="140">
        <f>IFERROR(F57/ASSUMPTIONS!$B$16,0)</f>
        <v/>
      </c>
      <c r="G58" s="140">
        <f>IFERROR(SUM(C58:F58),"")</f>
        <v/>
      </c>
      <c r="H58" s="241" t="n"/>
      <c r="I58" s="241" t="n"/>
      <c r="J58" s="241" t="n"/>
      <c r="K58" s="241" t="n"/>
      <c r="L58" s="241" t="n"/>
      <c r="M58" s="241" t="n"/>
      <c r="N58" s="241" t="n"/>
      <c r="O58" s="241" t="n"/>
      <c r="P58" s="241" t="n"/>
      <c r="Q58" s="241" t="n"/>
      <c r="R58" s="241" t="n"/>
      <c r="S58" s="241" t="n"/>
      <c r="T58" s="241" t="n"/>
      <c r="U58" s="241" t="n"/>
      <c r="V58" s="241" t="n"/>
      <c r="W58" s="241" t="n"/>
      <c r="X58" s="241" t="n"/>
      <c r="Y58" s="241" t="n"/>
      <c r="Z58" s="241" t="n"/>
      <c r="AA58" s="241" t="n"/>
      <c r="AB58" s="241" t="n"/>
      <c r="AC58" s="241" t="n"/>
      <c r="AD58" s="241" t="n"/>
      <c r="AE58" s="241" t="n"/>
      <c r="AF58" s="241" t="n"/>
      <c r="AG58" s="241" t="n"/>
      <c r="AH58" s="241" t="n"/>
      <c r="AI58" s="241" t="n"/>
      <c r="AJ58" s="241" t="n"/>
      <c r="AK58" s="241" t="n"/>
    </row>
    <row r="59" ht="16" customHeight="1" s="239">
      <c r="A59" s="158" t="n">
        <v>1</v>
      </c>
      <c r="B59" s="157" t="inlineStr">
        <is>
          <t>Ending Cash</t>
        </is>
      </c>
      <c r="C59" s="158">
        <f>IFERROR(SUM(C51:C58),"")</f>
        <v/>
      </c>
      <c r="D59" s="158">
        <f>IFERROR(SUM(D51:D58),"")</f>
        <v/>
      </c>
      <c r="E59" s="158">
        <f>IFERROR(SUM(E51:E58),"")</f>
        <v/>
      </c>
      <c r="F59" s="158">
        <f>IFERROR(SUM(F51:F58),"")</f>
        <v/>
      </c>
      <c r="G59" s="158">
        <f>IFERROR(SUM(C59:F59),"")</f>
        <v/>
      </c>
      <c r="H59" s="157" t="n"/>
      <c r="I59" s="241" t="n"/>
      <c r="J59" s="241" t="n"/>
      <c r="K59" s="241" t="n"/>
      <c r="L59" s="241" t="n"/>
      <c r="M59" s="241" t="n"/>
      <c r="N59" s="241" t="n"/>
      <c r="O59" s="241" t="n"/>
      <c r="P59" s="241" t="n"/>
      <c r="Q59" s="241" t="n"/>
      <c r="R59" s="241" t="n"/>
      <c r="S59" s="241" t="n"/>
      <c r="T59" s="241" t="n"/>
      <c r="U59" s="241" t="n"/>
      <c r="V59" s="241" t="n"/>
      <c r="W59" s="241" t="n"/>
      <c r="X59" s="241" t="n"/>
      <c r="Y59" s="241" t="n"/>
      <c r="Z59" s="241" t="n"/>
      <c r="AA59" s="241" t="n"/>
      <c r="AB59" s="241" t="n"/>
      <c r="AC59" s="241" t="n"/>
      <c r="AD59" s="241" t="n"/>
      <c r="AE59" s="241" t="n"/>
      <c r="AF59" s="241" t="n"/>
      <c r="AG59" s="241" t="n"/>
      <c r="AH59" s="241" t="n"/>
      <c r="AI59" s="241" t="n"/>
      <c r="AJ59" s="241" t="n"/>
      <c r="AK59" s="241" t="n"/>
    </row>
    <row r="60" ht="16" customHeight="1" s="239">
      <c r="A60" s="140" t="n">
        <v>2</v>
      </c>
      <c r="B60" s="241" t="inlineStr">
        <is>
          <t>EBITDA</t>
        </is>
      </c>
      <c r="C60" s="140">
        <f>IFERROR(FEED_FARM!C22,"")</f>
        <v/>
      </c>
      <c r="D60" s="140">
        <f>IFERROR(DAIRY!C15,"")</f>
        <v/>
      </c>
      <c r="E60" s="140">
        <f>IFERROR(FATTENING!C20,"")</f>
        <v/>
      </c>
      <c r="F60" s="140">
        <f>IFERROR(LOGISTICS!C11,"")</f>
        <v/>
      </c>
      <c r="G60" s="140">
        <f>IFERROR(SUM(C60:F60),"")</f>
        <v/>
      </c>
      <c r="H60" s="241" t="n"/>
      <c r="I60" s="241" t="n"/>
      <c r="J60" s="241" t="n"/>
      <c r="K60" s="241" t="n"/>
      <c r="L60" s="241" t="n"/>
      <c r="M60" s="241" t="n"/>
      <c r="N60" s="241" t="n"/>
      <c r="O60" s="241" t="n"/>
      <c r="P60" s="241" t="n"/>
      <c r="Q60" s="241" t="n"/>
      <c r="R60" s="241" t="n"/>
      <c r="S60" s="241" t="n"/>
      <c r="T60" s="241" t="n"/>
      <c r="U60" s="241" t="n"/>
      <c r="V60" s="241" t="n"/>
      <c r="W60" s="241" t="n"/>
      <c r="X60" s="241" t="n"/>
      <c r="Y60" s="241" t="n"/>
      <c r="Z60" s="241" t="n"/>
      <c r="AA60" s="241" t="n"/>
      <c r="AB60" s="241" t="n"/>
      <c r="AC60" s="241" t="n"/>
      <c r="AD60" s="241" t="n"/>
      <c r="AE60" s="241" t="n"/>
      <c r="AF60" s="241" t="n"/>
      <c r="AG60" s="241" t="n"/>
      <c r="AH60" s="241" t="n"/>
      <c r="AI60" s="241" t="n"/>
      <c r="AJ60" s="241" t="n"/>
      <c r="AK60" s="241" t="n"/>
    </row>
    <row r="61" ht="32" customHeight="1" s="239">
      <c r="A61" s="140" t="n">
        <v>2</v>
      </c>
      <c r="B61" s="241" t="inlineStr">
        <is>
          <t>Working Capital</t>
        </is>
      </c>
      <c r="C61" s="140">
        <f>IFERROR(WORKING_CAPITAL!C$16,"")</f>
        <v/>
      </c>
      <c r="D61" s="140">
        <f>IFERROR(WORKING_CAPITAL!C$20,"")</f>
        <v/>
      </c>
      <c r="E61" s="140">
        <f>IFERROR(WORKING_CAPITAL!C$21,"")</f>
        <v/>
      </c>
      <c r="F61" s="140">
        <f>IFERROR(WORKING_CAPITAL!C$22,"")</f>
        <v/>
      </c>
      <c r="G61" s="140">
        <f>IFERROR(SUM(C61:F61),"")</f>
        <v/>
      </c>
      <c r="H61" s="241" t="n"/>
      <c r="I61" s="241" t="n"/>
      <c r="J61" s="241" t="n"/>
      <c r="K61" s="241" t="n"/>
      <c r="L61" s="241" t="n"/>
      <c r="M61" s="241" t="n"/>
      <c r="N61" s="241" t="n"/>
      <c r="O61" s="241" t="n"/>
      <c r="P61" s="241" t="n"/>
      <c r="Q61" s="241" t="n"/>
      <c r="R61" s="241" t="n"/>
      <c r="S61" s="241" t="n"/>
      <c r="T61" s="241" t="n"/>
      <c r="U61" s="241" t="n"/>
      <c r="V61" s="241" t="n"/>
      <c r="W61" s="241" t="n"/>
      <c r="X61" s="241" t="n"/>
      <c r="Y61" s="241" t="n"/>
      <c r="Z61" s="241" t="n"/>
      <c r="AA61" s="241" t="n"/>
      <c r="AB61" s="241" t="n"/>
      <c r="AC61" s="241" t="n"/>
      <c r="AD61" s="241" t="n"/>
      <c r="AE61" s="241" t="n"/>
      <c r="AF61" s="241" t="n"/>
      <c r="AG61" s="241" t="n"/>
      <c r="AH61" s="241" t="n"/>
      <c r="AI61" s="241" t="n"/>
      <c r="AJ61" s="241" t="n"/>
      <c r="AK61" s="241" t="n"/>
    </row>
    <row r="62" ht="32" customHeight="1" s="239">
      <c r="A62" s="140" t="n">
        <v>2</v>
      </c>
      <c r="B62" s="241" t="inlineStr">
        <is>
          <t>Maintenance CAPEX</t>
        </is>
      </c>
      <c r="C62" s="140">
        <f>IFERROR(CAPEX!E$11*0.03,"")</f>
        <v/>
      </c>
      <c r="D62" s="140">
        <f>IFERROR(CAPEX!E$11*0.07,"")</f>
        <v/>
      </c>
      <c r="E62" s="140">
        <f>IFERROR(CAPEX!E$11*0.02,"")</f>
        <v/>
      </c>
      <c r="F62" s="140">
        <f>IFERROR(CAPEX!E$11*0.03,"")</f>
        <v/>
      </c>
      <c r="G62" s="140">
        <f>IFERROR(SUM(C62:F62),"")</f>
        <v/>
      </c>
      <c r="H62" s="241" t="n"/>
      <c r="I62" s="241" t="n"/>
      <c r="J62" s="241" t="n"/>
      <c r="K62" s="241" t="n"/>
      <c r="L62" s="241" t="n"/>
      <c r="M62" s="241" t="n"/>
      <c r="N62" s="241" t="n"/>
      <c r="O62" s="241" t="n"/>
      <c r="P62" s="241" t="n"/>
      <c r="Q62" s="241" t="n"/>
      <c r="R62" s="241" t="n"/>
      <c r="S62" s="241" t="n"/>
      <c r="T62" s="241" t="n"/>
      <c r="U62" s="241" t="n"/>
      <c r="V62" s="241" t="n"/>
      <c r="W62" s="241" t="n"/>
      <c r="X62" s="241" t="n"/>
      <c r="Y62" s="241" t="n"/>
      <c r="Z62" s="241" t="n"/>
      <c r="AA62" s="241" t="n"/>
      <c r="AB62" s="241" t="n"/>
      <c r="AC62" s="241" t="n"/>
      <c r="AD62" s="241" t="n"/>
      <c r="AE62" s="241" t="n"/>
      <c r="AF62" s="241" t="n"/>
      <c r="AG62" s="241" t="n"/>
      <c r="AH62" s="241" t="n"/>
      <c r="AI62" s="241" t="n"/>
      <c r="AJ62" s="241" t="n"/>
      <c r="AK62" s="241" t="n"/>
    </row>
    <row r="63" ht="32" customHeight="1" s="239">
      <c r="A63" s="140" t="n">
        <v>2</v>
      </c>
      <c r="B63" s="241" t="inlineStr">
        <is>
          <t>Expansion CAPEX</t>
        </is>
      </c>
      <c r="C63" s="140">
        <f>IFERROR(CAPEX!E$11*0.15,"")</f>
        <v/>
      </c>
      <c r="D63" s="140">
        <f>IFERROR(CAPEX!E$11*0.7,"")</f>
        <v/>
      </c>
      <c r="E63" s="140">
        <f>IFERROR(CAPEX!E$11*0.05,"")</f>
        <v/>
      </c>
      <c r="F63" s="140">
        <f>IFERROR(CAPEX!E$11*0.1,"")</f>
        <v/>
      </c>
      <c r="G63" s="140">
        <f>IFERROR(SUM(C63:F63),"")</f>
        <v/>
      </c>
      <c r="H63" s="241" t="n"/>
      <c r="I63" s="241" t="n"/>
      <c r="J63" s="241" t="n"/>
      <c r="K63" s="241" t="n"/>
      <c r="L63" s="241" t="n"/>
      <c r="M63" s="241" t="n"/>
      <c r="N63" s="241" t="n"/>
      <c r="O63" s="241" t="n"/>
      <c r="P63" s="241" t="n"/>
      <c r="Q63" s="241" t="n"/>
      <c r="R63" s="241" t="n"/>
      <c r="S63" s="241" t="n"/>
      <c r="T63" s="241" t="n"/>
      <c r="U63" s="241" t="n"/>
      <c r="V63" s="241" t="n"/>
      <c r="W63" s="241" t="n"/>
      <c r="X63" s="241" t="n"/>
      <c r="Y63" s="241" t="n"/>
      <c r="Z63" s="241" t="n"/>
      <c r="AA63" s="241" t="n"/>
      <c r="AB63" s="241" t="n"/>
      <c r="AC63" s="241" t="n"/>
      <c r="AD63" s="241" t="n"/>
      <c r="AE63" s="241" t="n"/>
      <c r="AF63" s="241" t="n"/>
      <c r="AG63" s="241" t="n"/>
      <c r="AH63" s="241" t="n"/>
      <c r="AI63" s="241" t="n"/>
      <c r="AJ63" s="241" t="n"/>
      <c r="AK63" s="241" t="n"/>
    </row>
    <row r="64" ht="32" customHeight="1" s="239">
      <c r="A64" s="158" t="n">
        <v>2</v>
      </c>
      <c r="B64" s="157" t="inlineStr">
        <is>
          <t>Operating Cash Flow</t>
        </is>
      </c>
      <c r="C64" s="158">
        <f>IFERROR(C60-C61,"")</f>
        <v/>
      </c>
      <c r="D64" s="158">
        <f>IFERROR(D60-D61,"")</f>
        <v/>
      </c>
      <c r="E64" s="158">
        <f>IFERROR(E60-E61,"")</f>
        <v/>
      </c>
      <c r="F64" s="158">
        <f>IFERROR(F60-F61,"")</f>
        <v/>
      </c>
      <c r="G64" s="158">
        <f>IFERROR(SUM(C64:F64),"")</f>
        <v/>
      </c>
      <c r="H64" s="157" t="n"/>
      <c r="I64" s="241" t="n"/>
      <c r="J64" s="241" t="n"/>
      <c r="K64" s="241" t="n"/>
      <c r="L64" s="241" t="n"/>
      <c r="M64" s="241" t="n"/>
      <c r="N64" s="241" t="n"/>
      <c r="O64" s="241" t="n"/>
      <c r="P64" s="241" t="n"/>
      <c r="Q64" s="241" t="n"/>
      <c r="R64" s="241" t="n"/>
      <c r="S64" s="241" t="n"/>
      <c r="T64" s="241" t="n"/>
      <c r="U64" s="241" t="n"/>
      <c r="V64" s="241" t="n"/>
      <c r="W64" s="241" t="n"/>
      <c r="X64" s="241" t="n"/>
      <c r="Y64" s="241" t="n"/>
      <c r="Z64" s="241" t="n"/>
      <c r="AA64" s="241" t="n"/>
      <c r="AB64" s="241" t="n"/>
      <c r="AC64" s="241" t="n"/>
      <c r="AD64" s="241" t="n"/>
      <c r="AE64" s="241" t="n"/>
      <c r="AF64" s="241" t="n"/>
      <c r="AG64" s="241" t="n"/>
      <c r="AH64" s="241" t="n"/>
      <c r="AI64" s="241" t="n"/>
      <c r="AJ64" s="241" t="n"/>
      <c r="AK64" s="241" t="n"/>
    </row>
    <row r="65" ht="32" customHeight="1" s="239">
      <c r="A65" s="158" t="n">
        <v>2</v>
      </c>
      <c r="B65" s="157" t="inlineStr">
        <is>
          <t>Free Cash Flow</t>
        </is>
      </c>
      <c r="C65" s="158">
        <f>IFERROR(C64-C62-C63,"")</f>
        <v/>
      </c>
      <c r="D65" s="158">
        <f>IFERROR(D64-D62-D63,"")</f>
        <v/>
      </c>
      <c r="E65" s="158">
        <f>IFERROR(E64-E62-E63,"")</f>
        <v/>
      </c>
      <c r="F65" s="158">
        <f>IFERROR(F64-F62-F63,"")</f>
        <v/>
      </c>
      <c r="G65" s="158">
        <f>IFERROR(SUM(C65:F65),"")</f>
        <v/>
      </c>
      <c r="H65" s="157" t="n"/>
      <c r="I65" s="241" t="n"/>
      <c r="J65" s="241" t="n"/>
      <c r="K65" s="241" t="n"/>
      <c r="L65" s="241" t="n"/>
      <c r="M65" s="241" t="n"/>
      <c r="N65" s="241" t="n"/>
      <c r="O65" s="241" t="n"/>
      <c r="P65" s="241" t="n"/>
      <c r="Q65" s="241" t="n"/>
      <c r="R65" s="241" t="n"/>
      <c r="S65" s="241" t="n"/>
      <c r="T65" s="241" t="n"/>
      <c r="U65" s="241" t="n"/>
      <c r="V65" s="241" t="n"/>
      <c r="W65" s="241" t="n"/>
      <c r="X65" s="241" t="n"/>
      <c r="Y65" s="241" t="n"/>
      <c r="Z65" s="241" t="n"/>
      <c r="AA65" s="241" t="n"/>
      <c r="AB65" s="241" t="n"/>
      <c r="AC65" s="241" t="n"/>
      <c r="AD65" s="241" t="n"/>
      <c r="AE65" s="241" t="n"/>
      <c r="AF65" s="241" t="n"/>
      <c r="AG65" s="241" t="n"/>
      <c r="AH65" s="241" t="n"/>
      <c r="AI65" s="241" t="n"/>
      <c r="AJ65" s="241" t="n"/>
      <c r="AK65" s="241" t="n"/>
    </row>
    <row r="66" ht="16" customHeight="1" s="239">
      <c r="A66" s="158" t="n">
        <v>2</v>
      </c>
      <c r="B66" s="157" t="inlineStr">
        <is>
          <t>CFADS</t>
        </is>
      </c>
      <c r="C66" s="158">
        <f>IFERROR(FEED_FARM!C23,"")</f>
        <v/>
      </c>
      <c r="D66" s="158">
        <f>IFERROR(DAIRY!C16,"")</f>
        <v/>
      </c>
      <c r="E66" s="158">
        <f>IFERROR(FATTENING!C21,"")</f>
        <v/>
      </c>
      <c r="F66" s="158">
        <f>IFERROR(LOGISTICS!C12,"")</f>
        <v/>
      </c>
      <c r="G66" s="158">
        <f>IFERROR(SUM(C66:F66),"")</f>
        <v/>
      </c>
      <c r="H66" s="157" t="n"/>
      <c r="I66" s="241" t="n"/>
      <c r="J66" s="241" t="n"/>
      <c r="K66" s="241" t="n"/>
      <c r="L66" s="241" t="n"/>
      <c r="M66" s="241" t="n"/>
      <c r="N66" s="241" t="n"/>
      <c r="O66" s="241" t="n"/>
      <c r="P66" s="241" t="n"/>
      <c r="Q66" s="241" t="n"/>
      <c r="R66" s="241" t="n"/>
      <c r="S66" s="241" t="n"/>
      <c r="T66" s="241" t="n"/>
      <c r="U66" s="241" t="n"/>
      <c r="V66" s="241" t="n"/>
      <c r="W66" s="241" t="n"/>
      <c r="X66" s="241" t="n"/>
      <c r="Y66" s="241" t="n"/>
      <c r="Z66" s="241" t="n"/>
      <c r="AA66" s="241" t="n"/>
      <c r="AB66" s="241" t="n"/>
      <c r="AC66" s="241" t="n"/>
      <c r="AD66" s="241" t="n"/>
      <c r="AE66" s="241" t="n"/>
      <c r="AF66" s="241" t="n"/>
      <c r="AG66" s="241" t="n"/>
      <c r="AH66" s="241" t="n"/>
      <c r="AI66" s="241" t="n"/>
      <c r="AJ66" s="241" t="n"/>
      <c r="AK66" s="241" t="n"/>
    </row>
    <row r="67" ht="32" customHeight="1" s="239">
      <c r="A67" s="140" t="n">
        <v>2</v>
      </c>
      <c r="B67" s="241" t="inlineStr">
        <is>
          <t>Debt Service Capacity</t>
        </is>
      </c>
      <c r="C67" s="140">
        <f>IFERROR(C66/ASSUMPTIONS!$B$16,0)</f>
        <v/>
      </c>
      <c r="D67" s="140">
        <f>IFERROR(D66/ASSUMPTIONS!$B$16,0)</f>
        <v/>
      </c>
      <c r="E67" s="140">
        <f>IFERROR(E66/ASSUMPTIONS!$B$16,0)</f>
        <v/>
      </c>
      <c r="F67" s="140">
        <f>IFERROR(F66/ASSUMPTIONS!$B$16,0)</f>
        <v/>
      </c>
      <c r="G67" s="140">
        <f>IFERROR(SUM(C67:F67),"")</f>
        <v/>
      </c>
      <c r="H67" s="241" t="n"/>
      <c r="I67" s="241" t="n"/>
      <c r="J67" s="241" t="n"/>
      <c r="K67" s="241" t="n"/>
      <c r="L67" s="241" t="n"/>
      <c r="M67" s="241" t="n"/>
      <c r="N67" s="241" t="n"/>
      <c r="O67" s="241" t="n"/>
      <c r="P67" s="241" t="n"/>
      <c r="Q67" s="241" t="n"/>
      <c r="R67" s="241" t="n"/>
      <c r="S67" s="241" t="n"/>
      <c r="T67" s="241" t="n"/>
      <c r="U67" s="241" t="n"/>
      <c r="V67" s="241" t="n"/>
      <c r="W67" s="241" t="n"/>
      <c r="X67" s="241" t="n"/>
      <c r="Y67" s="241" t="n"/>
      <c r="Z67" s="241" t="n"/>
      <c r="AA67" s="241" t="n"/>
      <c r="AB67" s="241" t="n"/>
      <c r="AC67" s="241" t="n"/>
      <c r="AD67" s="241" t="n"/>
      <c r="AE67" s="241" t="n"/>
      <c r="AF67" s="241" t="n"/>
      <c r="AG67" s="241" t="n"/>
      <c r="AH67" s="241" t="n"/>
      <c r="AI67" s="241" t="n"/>
      <c r="AJ67" s="241" t="n"/>
      <c r="AK67" s="241" t="n"/>
    </row>
    <row r="68" ht="16" customHeight="1" s="239">
      <c r="A68" s="158" t="n">
        <v>2</v>
      </c>
      <c r="B68" s="157" t="inlineStr">
        <is>
          <t>Ending Cash</t>
        </is>
      </c>
      <c r="C68" s="158">
        <f>IFERROR(SUM(C60:C67),"")</f>
        <v/>
      </c>
      <c r="D68" s="158">
        <f>IFERROR(SUM(D60:D67),"")</f>
        <v/>
      </c>
      <c r="E68" s="158">
        <f>IFERROR(SUM(E60:E67),"")</f>
        <v/>
      </c>
      <c r="F68" s="158">
        <f>IFERROR(SUM(F60:F67),"")</f>
        <v/>
      </c>
      <c r="G68" s="158">
        <f>IFERROR(SUM(C68:F68),"")</f>
        <v/>
      </c>
      <c r="H68" s="157" t="n"/>
      <c r="I68" s="241" t="n"/>
      <c r="J68" s="241" t="n"/>
      <c r="K68" s="241" t="n"/>
      <c r="L68" s="241" t="n"/>
      <c r="M68" s="241" t="n"/>
      <c r="N68" s="241" t="n"/>
      <c r="O68" s="241" t="n"/>
      <c r="P68" s="241" t="n"/>
      <c r="Q68" s="241" t="n"/>
      <c r="R68" s="241" t="n"/>
      <c r="S68" s="241" t="n"/>
      <c r="T68" s="241" t="n"/>
      <c r="U68" s="241" t="n"/>
      <c r="V68" s="241" t="n"/>
      <c r="W68" s="241" t="n"/>
      <c r="X68" s="241" t="n"/>
      <c r="Y68" s="241" t="n"/>
      <c r="Z68" s="241" t="n"/>
      <c r="AA68" s="241" t="n"/>
      <c r="AB68" s="241" t="n"/>
      <c r="AC68" s="241" t="n"/>
      <c r="AD68" s="241" t="n"/>
      <c r="AE68" s="241" t="n"/>
      <c r="AF68" s="241" t="n"/>
      <c r="AG68" s="241" t="n"/>
      <c r="AH68" s="241" t="n"/>
      <c r="AI68" s="241" t="n"/>
      <c r="AJ68" s="241" t="n"/>
      <c r="AK68" s="241" t="n"/>
    </row>
    <row r="69" ht="16" customHeight="1" s="239">
      <c r="A69" s="140" t="n">
        <v>3</v>
      </c>
      <c r="B69" s="241" t="inlineStr">
        <is>
          <t>EBITDA</t>
        </is>
      </c>
      <c r="C69" s="140">
        <f>IFERROR(FEED_FARM!D22,"")</f>
        <v/>
      </c>
      <c r="D69" s="140">
        <f>IFERROR(DAIRY!D15,"")</f>
        <v/>
      </c>
      <c r="E69" s="140">
        <f>IFERROR(FATTENING!D20,"")</f>
        <v/>
      </c>
      <c r="F69" s="140">
        <f>IFERROR(LOGISTICS!D11,"")</f>
        <v/>
      </c>
      <c r="G69" s="140">
        <f>IFERROR(SUM(C69:F69),"")</f>
        <v/>
      </c>
      <c r="H69" s="241" t="n"/>
      <c r="I69" s="241" t="n"/>
      <c r="J69" s="241" t="n"/>
      <c r="K69" s="241" t="n"/>
      <c r="L69" s="241" t="n"/>
      <c r="M69" s="241" t="n"/>
      <c r="N69" s="241" t="n"/>
      <c r="O69" s="241" t="n"/>
      <c r="P69" s="241" t="n"/>
      <c r="Q69" s="241" t="n"/>
      <c r="R69" s="241" t="n"/>
      <c r="S69" s="241" t="n"/>
      <c r="T69" s="241" t="n"/>
      <c r="U69" s="241" t="n"/>
      <c r="V69" s="241" t="n"/>
      <c r="W69" s="241" t="n"/>
      <c r="X69" s="241" t="n"/>
      <c r="Y69" s="241" t="n"/>
      <c r="Z69" s="241" t="n"/>
      <c r="AA69" s="241" t="n"/>
      <c r="AB69" s="241" t="n"/>
      <c r="AC69" s="241" t="n"/>
      <c r="AD69" s="241" t="n"/>
      <c r="AE69" s="241" t="n"/>
      <c r="AF69" s="241" t="n"/>
      <c r="AG69" s="241" t="n"/>
      <c r="AH69" s="241" t="n"/>
      <c r="AI69" s="241" t="n"/>
      <c r="AJ69" s="241" t="n"/>
      <c r="AK69" s="241" t="n"/>
    </row>
    <row r="70" ht="32" customHeight="1" s="239">
      <c r="A70" s="140" t="n">
        <v>3</v>
      </c>
      <c r="B70" s="241" t="inlineStr">
        <is>
          <t>Working Capital</t>
        </is>
      </c>
      <c r="C70" s="140">
        <f>IFERROR(WORKING_CAPITAL!D$16,"")</f>
        <v/>
      </c>
      <c r="D70" s="140">
        <f>IFERROR(WORKING_CAPITAL!D$20,"")</f>
        <v/>
      </c>
      <c r="E70" s="140">
        <f>IFERROR(WORKING_CAPITAL!D$21,"")</f>
        <v/>
      </c>
      <c r="F70" s="140">
        <f>IFERROR(WORKING_CAPITAL!D$22,"")</f>
        <v/>
      </c>
      <c r="G70" s="140">
        <f>IFERROR(SUM(C70:F70),"")</f>
        <v/>
      </c>
      <c r="H70" s="241" t="n"/>
      <c r="I70" s="241" t="n"/>
      <c r="J70" s="241" t="n"/>
      <c r="K70" s="241" t="n"/>
      <c r="L70" s="241" t="n"/>
      <c r="M70" s="241" t="n"/>
      <c r="N70" s="241" t="n"/>
      <c r="O70" s="241" t="n"/>
      <c r="P70" s="241" t="n"/>
      <c r="Q70" s="241" t="n"/>
      <c r="R70" s="241" t="n"/>
      <c r="S70" s="241" t="n"/>
      <c r="T70" s="241" t="n"/>
      <c r="U70" s="241" t="n"/>
      <c r="V70" s="241" t="n"/>
      <c r="W70" s="241" t="n"/>
      <c r="X70" s="241" t="n"/>
      <c r="Y70" s="241" t="n"/>
      <c r="Z70" s="241" t="n"/>
      <c r="AA70" s="241" t="n"/>
      <c r="AB70" s="241" t="n"/>
      <c r="AC70" s="241" t="n"/>
      <c r="AD70" s="241" t="n"/>
      <c r="AE70" s="241" t="n"/>
      <c r="AF70" s="241" t="n"/>
      <c r="AG70" s="241" t="n"/>
      <c r="AH70" s="241" t="n"/>
      <c r="AI70" s="241" t="n"/>
      <c r="AJ70" s="241" t="n"/>
      <c r="AK70" s="241" t="n"/>
    </row>
    <row r="71" ht="32" customHeight="1" s="239">
      <c r="A71" s="140" t="n">
        <v>3</v>
      </c>
      <c r="B71" s="241" t="inlineStr">
        <is>
          <t>Maintenance CAPEX</t>
        </is>
      </c>
      <c r="C71" s="140">
        <f>IFERROR(CAPEX!F$11*0.03,"")</f>
        <v/>
      </c>
      <c r="D71" s="140">
        <f>IFERROR(CAPEX!F$11*0.07,"")</f>
        <v/>
      </c>
      <c r="E71" s="140">
        <f>IFERROR(CAPEX!F$11*0.02,"")</f>
        <v/>
      </c>
      <c r="F71" s="140">
        <f>IFERROR(CAPEX!F$11*0.03,"")</f>
        <v/>
      </c>
      <c r="G71" s="140">
        <f>IFERROR(SUM(C71:F71),"")</f>
        <v/>
      </c>
      <c r="H71" s="241" t="n"/>
      <c r="I71" s="241" t="n"/>
      <c r="J71" s="241" t="n"/>
      <c r="K71" s="241" t="n"/>
      <c r="L71" s="241" t="n"/>
      <c r="M71" s="241" t="n"/>
      <c r="N71" s="241" t="n"/>
      <c r="O71" s="241" t="n"/>
      <c r="P71" s="241" t="n"/>
      <c r="Q71" s="241" t="n"/>
      <c r="R71" s="241" t="n"/>
      <c r="S71" s="241" t="n"/>
      <c r="T71" s="241" t="n"/>
      <c r="U71" s="241" t="n"/>
      <c r="V71" s="241" t="n"/>
      <c r="W71" s="241" t="n"/>
      <c r="X71" s="241" t="n"/>
      <c r="Y71" s="241" t="n"/>
      <c r="Z71" s="241" t="n"/>
      <c r="AA71" s="241" t="n"/>
      <c r="AB71" s="241" t="n"/>
      <c r="AC71" s="241" t="n"/>
      <c r="AD71" s="241" t="n"/>
      <c r="AE71" s="241" t="n"/>
      <c r="AF71" s="241" t="n"/>
      <c r="AG71" s="241" t="n"/>
      <c r="AH71" s="241" t="n"/>
      <c r="AI71" s="241" t="n"/>
      <c r="AJ71" s="241" t="n"/>
      <c r="AK71" s="241" t="n"/>
    </row>
    <row r="72" ht="32" customHeight="1" s="239">
      <c r="A72" s="140" t="n">
        <v>3</v>
      </c>
      <c r="B72" s="241" t="inlineStr">
        <is>
          <t>Expansion CAPEX</t>
        </is>
      </c>
      <c r="C72" s="140">
        <f>IFERROR(CAPEX!F$11*0.15,"")</f>
        <v/>
      </c>
      <c r="D72" s="140">
        <f>IFERROR(CAPEX!F$11*0.7,"")</f>
        <v/>
      </c>
      <c r="E72" s="140">
        <f>IFERROR(CAPEX!F$11*0.05,"")</f>
        <v/>
      </c>
      <c r="F72" s="140">
        <f>IFERROR(CAPEX!F$11*0.1,"")</f>
        <v/>
      </c>
      <c r="G72" s="140">
        <f>IFERROR(SUM(C72:F72),"")</f>
        <v/>
      </c>
      <c r="H72" s="241" t="n"/>
      <c r="I72" s="241" t="n"/>
      <c r="J72" s="241" t="n"/>
      <c r="K72" s="241" t="n"/>
      <c r="L72" s="241" t="n"/>
      <c r="M72" s="241" t="n"/>
      <c r="N72" s="241" t="n"/>
      <c r="O72" s="241" t="n"/>
      <c r="P72" s="241" t="n"/>
      <c r="Q72" s="241" t="n"/>
      <c r="R72" s="241" t="n"/>
      <c r="S72" s="241" t="n"/>
      <c r="T72" s="241" t="n"/>
      <c r="U72" s="241" t="n"/>
      <c r="V72" s="241" t="n"/>
      <c r="W72" s="241" t="n"/>
      <c r="X72" s="241" t="n"/>
      <c r="Y72" s="241" t="n"/>
      <c r="Z72" s="241" t="n"/>
      <c r="AA72" s="241" t="n"/>
      <c r="AB72" s="241" t="n"/>
      <c r="AC72" s="241" t="n"/>
      <c r="AD72" s="241" t="n"/>
      <c r="AE72" s="241" t="n"/>
      <c r="AF72" s="241" t="n"/>
      <c r="AG72" s="241" t="n"/>
      <c r="AH72" s="241" t="n"/>
      <c r="AI72" s="241" t="n"/>
      <c r="AJ72" s="241" t="n"/>
      <c r="AK72" s="241" t="n"/>
    </row>
    <row r="73" ht="32" customHeight="1" s="239">
      <c r="A73" s="158" t="n">
        <v>3</v>
      </c>
      <c r="B73" s="157" t="inlineStr">
        <is>
          <t>Operating Cash Flow</t>
        </is>
      </c>
      <c r="C73" s="158">
        <f>IFERROR(C69-C70,"")</f>
        <v/>
      </c>
      <c r="D73" s="158">
        <f>IFERROR(D69-D70,"")</f>
        <v/>
      </c>
      <c r="E73" s="158">
        <f>IFERROR(E69-E70,"")</f>
        <v/>
      </c>
      <c r="F73" s="158">
        <f>IFERROR(F69-F70,"")</f>
        <v/>
      </c>
      <c r="G73" s="158">
        <f>IFERROR(SUM(C73:F73),"")</f>
        <v/>
      </c>
      <c r="H73" s="157" t="n"/>
      <c r="I73" s="241" t="n"/>
      <c r="J73" s="241" t="n"/>
      <c r="K73" s="241" t="n"/>
      <c r="L73" s="241" t="n"/>
      <c r="M73" s="241" t="n"/>
      <c r="N73" s="241" t="n"/>
      <c r="O73" s="241" t="n"/>
      <c r="P73" s="241" t="n"/>
      <c r="Q73" s="241" t="n"/>
      <c r="R73" s="241" t="n"/>
      <c r="S73" s="241" t="n"/>
      <c r="T73" s="241" t="n"/>
      <c r="U73" s="241" t="n"/>
      <c r="V73" s="241" t="n"/>
      <c r="W73" s="241" t="n"/>
      <c r="X73" s="241" t="n"/>
      <c r="Y73" s="241" t="n"/>
      <c r="Z73" s="241" t="n"/>
      <c r="AA73" s="241" t="n"/>
      <c r="AB73" s="241" t="n"/>
      <c r="AC73" s="241" t="n"/>
      <c r="AD73" s="241" t="n"/>
      <c r="AE73" s="241" t="n"/>
      <c r="AF73" s="241" t="n"/>
      <c r="AG73" s="241" t="n"/>
      <c r="AH73" s="241" t="n"/>
      <c r="AI73" s="241" t="n"/>
      <c r="AJ73" s="241" t="n"/>
      <c r="AK73" s="241" t="n"/>
    </row>
    <row r="74" ht="32" customHeight="1" s="239">
      <c r="A74" s="158" t="n">
        <v>3</v>
      </c>
      <c r="B74" s="157" t="inlineStr">
        <is>
          <t>Free Cash Flow</t>
        </is>
      </c>
      <c r="C74" s="158">
        <f>IFERROR(C73-C71-C72,"")</f>
        <v/>
      </c>
      <c r="D74" s="158">
        <f>IFERROR(D73-D71-D72,"")</f>
        <v/>
      </c>
      <c r="E74" s="158">
        <f>IFERROR(E73-E71-E72,"")</f>
        <v/>
      </c>
      <c r="F74" s="158">
        <f>IFERROR(F73-F71-F72,"")</f>
        <v/>
      </c>
      <c r="G74" s="158">
        <f>IFERROR(SUM(C74:F74),"")</f>
        <v/>
      </c>
      <c r="H74" s="157" t="n"/>
      <c r="I74" s="241" t="n"/>
      <c r="J74" s="241" t="n"/>
      <c r="K74" s="241" t="n"/>
      <c r="L74" s="241" t="n"/>
      <c r="M74" s="241" t="n"/>
      <c r="N74" s="241" t="n"/>
      <c r="O74" s="241" t="n"/>
      <c r="P74" s="241" t="n"/>
      <c r="Q74" s="241" t="n"/>
      <c r="R74" s="241" t="n"/>
      <c r="S74" s="241" t="n"/>
      <c r="T74" s="241" t="n"/>
      <c r="U74" s="241" t="n"/>
      <c r="V74" s="241" t="n"/>
      <c r="W74" s="241" t="n"/>
      <c r="X74" s="241" t="n"/>
      <c r="Y74" s="241" t="n"/>
      <c r="Z74" s="241" t="n"/>
      <c r="AA74" s="241" t="n"/>
      <c r="AB74" s="241" t="n"/>
      <c r="AC74" s="241" t="n"/>
      <c r="AD74" s="241" t="n"/>
      <c r="AE74" s="241" t="n"/>
      <c r="AF74" s="241" t="n"/>
      <c r="AG74" s="241" t="n"/>
      <c r="AH74" s="241" t="n"/>
      <c r="AI74" s="241" t="n"/>
      <c r="AJ74" s="241" t="n"/>
      <c r="AK74" s="241" t="n"/>
    </row>
    <row r="75" ht="16" customHeight="1" s="239">
      <c r="A75" s="158" t="n">
        <v>3</v>
      </c>
      <c r="B75" s="157" t="inlineStr">
        <is>
          <t>CFADS</t>
        </is>
      </c>
      <c r="C75" s="158">
        <f>IFERROR(FEED_FARM!D23,"")</f>
        <v/>
      </c>
      <c r="D75" s="158">
        <f>IFERROR(DAIRY!D16,"")</f>
        <v/>
      </c>
      <c r="E75" s="158">
        <f>IFERROR(FATTENING!D21,"")</f>
        <v/>
      </c>
      <c r="F75" s="158">
        <f>IFERROR(LOGISTICS!D12,"")</f>
        <v/>
      </c>
      <c r="G75" s="158">
        <f>IFERROR(SUM(C75:F75),"")</f>
        <v/>
      </c>
      <c r="H75" s="157" t="n"/>
      <c r="I75" s="241" t="n"/>
      <c r="J75" s="241" t="n"/>
      <c r="K75" s="241" t="n"/>
      <c r="L75" s="241" t="n"/>
      <c r="M75" s="241" t="n"/>
      <c r="N75" s="241" t="n"/>
      <c r="O75" s="241" t="n"/>
      <c r="P75" s="241" t="n"/>
      <c r="Q75" s="241" t="n"/>
      <c r="R75" s="241" t="n"/>
      <c r="S75" s="241" t="n"/>
      <c r="T75" s="241" t="n"/>
      <c r="U75" s="241" t="n"/>
      <c r="V75" s="241" t="n"/>
      <c r="W75" s="241" t="n"/>
      <c r="X75" s="241" t="n"/>
      <c r="Y75" s="241" t="n"/>
      <c r="Z75" s="241" t="n"/>
      <c r="AA75" s="241" t="n"/>
      <c r="AB75" s="241" t="n"/>
      <c r="AC75" s="241" t="n"/>
      <c r="AD75" s="241" t="n"/>
      <c r="AE75" s="241" t="n"/>
      <c r="AF75" s="241" t="n"/>
      <c r="AG75" s="241" t="n"/>
      <c r="AH75" s="241" t="n"/>
      <c r="AI75" s="241" t="n"/>
      <c r="AJ75" s="241" t="n"/>
      <c r="AK75" s="241" t="n"/>
    </row>
    <row r="76" ht="32" customHeight="1" s="239">
      <c r="A76" s="140" t="n">
        <v>3</v>
      </c>
      <c r="B76" s="241" t="inlineStr">
        <is>
          <t>Debt Service Capacity</t>
        </is>
      </c>
      <c r="C76" s="140">
        <f>IFERROR(C75/ASSUMPTIONS!$B$16,0)</f>
        <v/>
      </c>
      <c r="D76" s="140">
        <f>IFERROR(D75/ASSUMPTIONS!$B$16,0)</f>
        <v/>
      </c>
      <c r="E76" s="140">
        <f>IFERROR(E75/ASSUMPTIONS!$B$16,0)</f>
        <v/>
      </c>
      <c r="F76" s="140">
        <f>IFERROR(F75/ASSUMPTIONS!$B$16,0)</f>
        <v/>
      </c>
      <c r="G76" s="140">
        <f>IFERROR(SUM(C76:F76),"")</f>
        <v/>
      </c>
      <c r="H76" s="241" t="n"/>
      <c r="I76" s="241" t="n"/>
      <c r="J76" s="241" t="n"/>
      <c r="K76" s="241" t="n"/>
      <c r="L76" s="241" t="n"/>
      <c r="M76" s="241" t="n"/>
      <c r="N76" s="241" t="n"/>
      <c r="O76" s="241" t="n"/>
      <c r="P76" s="241" t="n"/>
      <c r="Q76" s="241" t="n"/>
      <c r="R76" s="241" t="n"/>
      <c r="S76" s="241" t="n"/>
      <c r="T76" s="241" t="n"/>
      <c r="U76" s="241" t="n"/>
      <c r="V76" s="241" t="n"/>
      <c r="W76" s="241" t="n"/>
      <c r="X76" s="241" t="n"/>
      <c r="Y76" s="241" t="n"/>
      <c r="Z76" s="241" t="n"/>
      <c r="AA76" s="241" t="n"/>
      <c r="AB76" s="241" t="n"/>
      <c r="AC76" s="241" t="n"/>
      <c r="AD76" s="241" t="n"/>
      <c r="AE76" s="241" t="n"/>
      <c r="AF76" s="241" t="n"/>
      <c r="AG76" s="241" t="n"/>
      <c r="AH76" s="241" t="n"/>
      <c r="AI76" s="241" t="n"/>
      <c r="AJ76" s="241" t="n"/>
      <c r="AK76" s="241" t="n"/>
    </row>
    <row r="77" ht="16" customHeight="1" s="239">
      <c r="A77" s="158" t="n">
        <v>3</v>
      </c>
      <c r="B77" s="157" t="inlineStr">
        <is>
          <t>Ending Cash</t>
        </is>
      </c>
      <c r="C77" s="158">
        <f>IFERROR(SUM(C69:C76),"")</f>
        <v/>
      </c>
      <c r="D77" s="158">
        <f>IFERROR(SUM(D69:D76),"")</f>
        <v/>
      </c>
      <c r="E77" s="158">
        <f>IFERROR(SUM(E69:E76),"")</f>
        <v/>
      </c>
      <c r="F77" s="158">
        <f>IFERROR(SUM(F69:F76),"")</f>
        <v/>
      </c>
      <c r="G77" s="158">
        <f>IFERROR(SUM(C77:F77),"")</f>
        <v/>
      </c>
      <c r="H77" s="157" t="n"/>
      <c r="I77" s="241" t="n"/>
      <c r="J77" s="241" t="n"/>
      <c r="K77" s="241" t="n"/>
      <c r="L77" s="241" t="n"/>
      <c r="M77" s="241" t="n"/>
      <c r="N77" s="241" t="n"/>
      <c r="O77" s="241" t="n"/>
      <c r="P77" s="241" t="n"/>
      <c r="Q77" s="241" t="n"/>
      <c r="R77" s="241" t="n"/>
      <c r="S77" s="241" t="n"/>
      <c r="T77" s="241" t="n"/>
      <c r="U77" s="241" t="n"/>
      <c r="V77" s="241" t="n"/>
      <c r="W77" s="241" t="n"/>
      <c r="X77" s="241" t="n"/>
      <c r="Y77" s="241" t="n"/>
      <c r="Z77" s="241" t="n"/>
      <c r="AA77" s="241" t="n"/>
      <c r="AB77" s="241" t="n"/>
      <c r="AC77" s="241" t="n"/>
      <c r="AD77" s="241" t="n"/>
      <c r="AE77" s="241" t="n"/>
      <c r="AF77" s="241" t="n"/>
      <c r="AG77" s="241" t="n"/>
      <c r="AH77" s="241" t="n"/>
      <c r="AI77" s="241" t="n"/>
      <c r="AJ77" s="241" t="n"/>
      <c r="AK77" s="241" t="n"/>
    </row>
    <row r="78" ht="16" customHeight="1" s="239">
      <c r="A78" s="140" t="n">
        <v>4</v>
      </c>
      <c r="B78" s="241" t="inlineStr">
        <is>
          <t>EBITDA</t>
        </is>
      </c>
      <c r="C78" s="140">
        <f>IFERROR(FEED_FARM!E22,"")</f>
        <v/>
      </c>
      <c r="D78" s="140">
        <f>IFERROR(DAIRY!E15,"")</f>
        <v/>
      </c>
      <c r="E78" s="140">
        <f>IFERROR(FATTENING!E20,"")</f>
        <v/>
      </c>
      <c r="F78" s="140">
        <f>IFERROR(LOGISTICS!E11,"")</f>
        <v/>
      </c>
      <c r="G78" s="140">
        <f>IFERROR(SUM(C78:F78),"")</f>
        <v/>
      </c>
      <c r="H78" s="241" t="n"/>
      <c r="I78" s="241" t="n"/>
      <c r="J78" s="241" t="n"/>
      <c r="K78" s="241" t="n"/>
      <c r="L78" s="241" t="n"/>
      <c r="M78" s="241" t="n"/>
      <c r="N78" s="241" t="n"/>
      <c r="O78" s="241" t="n"/>
      <c r="P78" s="241" t="n"/>
      <c r="Q78" s="241" t="n"/>
      <c r="R78" s="241" t="n"/>
      <c r="S78" s="241" t="n"/>
      <c r="T78" s="241" t="n"/>
      <c r="U78" s="241" t="n"/>
      <c r="V78" s="241" t="n"/>
      <c r="W78" s="241" t="n"/>
      <c r="X78" s="241" t="n"/>
      <c r="Y78" s="241" t="n"/>
      <c r="Z78" s="241" t="n"/>
      <c r="AA78" s="241" t="n"/>
      <c r="AB78" s="241" t="n"/>
      <c r="AC78" s="241" t="n"/>
      <c r="AD78" s="241" t="n"/>
      <c r="AE78" s="241" t="n"/>
      <c r="AF78" s="241" t="n"/>
      <c r="AG78" s="241" t="n"/>
      <c r="AH78" s="241" t="n"/>
      <c r="AI78" s="241" t="n"/>
      <c r="AJ78" s="241" t="n"/>
      <c r="AK78" s="241" t="n"/>
    </row>
    <row r="79" ht="32" customHeight="1" s="239">
      <c r="A79" s="140" t="n">
        <v>4</v>
      </c>
      <c r="B79" s="241" t="inlineStr">
        <is>
          <t>Working Capital</t>
        </is>
      </c>
      <c r="C79" s="140">
        <f>IFERROR(WORKING_CAPITAL!E$16,"")</f>
        <v/>
      </c>
      <c r="D79" s="140">
        <f>IFERROR(WORKING_CAPITAL!E$20,"")</f>
        <v/>
      </c>
      <c r="E79" s="140">
        <f>IFERROR(WORKING_CAPITAL!E$21,"")</f>
        <v/>
      </c>
      <c r="F79" s="140">
        <f>IFERROR(WORKING_CAPITAL!E$22,"")</f>
        <v/>
      </c>
      <c r="G79" s="140">
        <f>IFERROR(SUM(C79:F79),"")</f>
        <v/>
      </c>
      <c r="H79" s="241" t="n"/>
      <c r="I79" s="241" t="n"/>
      <c r="J79" s="241" t="n"/>
      <c r="K79" s="241" t="n"/>
      <c r="L79" s="241" t="n"/>
      <c r="M79" s="241" t="n"/>
      <c r="N79" s="241" t="n"/>
      <c r="O79" s="241" t="n"/>
      <c r="P79" s="241" t="n"/>
      <c r="Q79" s="241" t="n"/>
      <c r="R79" s="241" t="n"/>
      <c r="S79" s="241" t="n"/>
      <c r="T79" s="241" t="n"/>
      <c r="U79" s="241" t="n"/>
      <c r="V79" s="241" t="n"/>
      <c r="W79" s="241" t="n"/>
      <c r="X79" s="241" t="n"/>
      <c r="Y79" s="241" t="n"/>
      <c r="Z79" s="241" t="n"/>
      <c r="AA79" s="241" t="n"/>
      <c r="AB79" s="241" t="n"/>
      <c r="AC79" s="241" t="n"/>
      <c r="AD79" s="241" t="n"/>
      <c r="AE79" s="241" t="n"/>
      <c r="AF79" s="241" t="n"/>
      <c r="AG79" s="241" t="n"/>
      <c r="AH79" s="241" t="n"/>
      <c r="AI79" s="241" t="n"/>
      <c r="AJ79" s="241" t="n"/>
      <c r="AK79" s="241" t="n"/>
    </row>
    <row r="80" ht="32" customHeight="1" s="239">
      <c r="A80" s="140" t="n">
        <v>4</v>
      </c>
      <c r="B80" s="241" t="inlineStr">
        <is>
          <t>Maintenance CAPEX</t>
        </is>
      </c>
      <c r="C80" s="140">
        <f>IFERROR(CAPEX!G$11*0.03,"")</f>
        <v/>
      </c>
      <c r="D80" s="140">
        <f>IFERROR(CAPEX!G$11*0.07,"")</f>
        <v/>
      </c>
      <c r="E80" s="140">
        <f>IFERROR(CAPEX!G$11*0.02,"")</f>
        <v/>
      </c>
      <c r="F80" s="140">
        <f>IFERROR(CAPEX!G$11*0.03,"")</f>
        <v/>
      </c>
      <c r="G80" s="140">
        <f>IFERROR(SUM(C80:F80),"")</f>
        <v/>
      </c>
      <c r="H80" s="241" t="n"/>
      <c r="I80" s="241" t="n"/>
      <c r="J80" s="241" t="n"/>
      <c r="K80" s="241" t="n"/>
      <c r="L80" s="241" t="n"/>
      <c r="M80" s="241" t="n"/>
      <c r="N80" s="241" t="n"/>
      <c r="O80" s="241" t="n"/>
      <c r="P80" s="241" t="n"/>
      <c r="Q80" s="241" t="n"/>
      <c r="R80" s="241" t="n"/>
      <c r="S80" s="241" t="n"/>
      <c r="T80" s="241" t="n"/>
      <c r="U80" s="241" t="n"/>
      <c r="V80" s="241" t="n"/>
      <c r="W80" s="241" t="n"/>
      <c r="X80" s="241" t="n"/>
      <c r="Y80" s="241" t="n"/>
      <c r="Z80" s="241" t="n"/>
      <c r="AA80" s="241" t="n"/>
      <c r="AB80" s="241" t="n"/>
      <c r="AC80" s="241" t="n"/>
      <c r="AD80" s="241" t="n"/>
      <c r="AE80" s="241" t="n"/>
      <c r="AF80" s="241" t="n"/>
      <c r="AG80" s="241" t="n"/>
      <c r="AH80" s="241" t="n"/>
      <c r="AI80" s="241" t="n"/>
      <c r="AJ80" s="241" t="n"/>
      <c r="AK80" s="241" t="n"/>
    </row>
    <row r="81" ht="32" customHeight="1" s="239">
      <c r="A81" s="140" t="n">
        <v>4</v>
      </c>
      <c r="B81" s="241" t="inlineStr">
        <is>
          <t>Expansion CAPEX</t>
        </is>
      </c>
      <c r="C81" s="140">
        <f>IFERROR(CAPEX!G$11*0.15,"")</f>
        <v/>
      </c>
      <c r="D81" s="140">
        <f>IFERROR(CAPEX!G$11*0.7,"")</f>
        <v/>
      </c>
      <c r="E81" s="140">
        <f>IFERROR(CAPEX!G$11*0.05,"")</f>
        <v/>
      </c>
      <c r="F81" s="140">
        <f>IFERROR(CAPEX!G$11*0.1,"")</f>
        <v/>
      </c>
      <c r="G81" s="140">
        <f>IFERROR(SUM(C81:F81),"")</f>
        <v/>
      </c>
      <c r="H81" s="241" t="n"/>
      <c r="I81" s="241" t="n"/>
      <c r="J81" s="241" t="n"/>
      <c r="K81" s="241" t="n"/>
      <c r="L81" s="241" t="n"/>
      <c r="M81" s="241" t="n"/>
      <c r="N81" s="241" t="n"/>
      <c r="O81" s="241" t="n"/>
      <c r="P81" s="241" t="n"/>
      <c r="Q81" s="241" t="n"/>
      <c r="R81" s="241" t="n"/>
      <c r="S81" s="241" t="n"/>
      <c r="T81" s="241" t="n"/>
      <c r="U81" s="241" t="n"/>
      <c r="V81" s="241" t="n"/>
      <c r="W81" s="241" t="n"/>
      <c r="X81" s="241" t="n"/>
      <c r="Y81" s="241" t="n"/>
      <c r="Z81" s="241" t="n"/>
      <c r="AA81" s="241" t="n"/>
      <c r="AB81" s="241" t="n"/>
      <c r="AC81" s="241" t="n"/>
      <c r="AD81" s="241" t="n"/>
      <c r="AE81" s="241" t="n"/>
      <c r="AF81" s="241" t="n"/>
      <c r="AG81" s="241" t="n"/>
      <c r="AH81" s="241" t="n"/>
      <c r="AI81" s="241" t="n"/>
      <c r="AJ81" s="241" t="n"/>
      <c r="AK81" s="241" t="n"/>
    </row>
    <row r="82" ht="32" customHeight="1" s="239">
      <c r="A82" s="158" t="n">
        <v>4</v>
      </c>
      <c r="B82" s="157" t="inlineStr">
        <is>
          <t>Operating Cash Flow</t>
        </is>
      </c>
      <c r="C82" s="158">
        <f>IFERROR(C78-C79,"")</f>
        <v/>
      </c>
      <c r="D82" s="158">
        <f>IFERROR(D78-D79,"")</f>
        <v/>
      </c>
      <c r="E82" s="158">
        <f>IFERROR(E78-E79,"")</f>
        <v/>
      </c>
      <c r="F82" s="158">
        <f>IFERROR(F78-F79,"")</f>
        <v/>
      </c>
      <c r="G82" s="158">
        <f>IFERROR(SUM(C82:F82),"")</f>
        <v/>
      </c>
      <c r="H82" s="157" t="n"/>
      <c r="I82" s="241" t="n"/>
      <c r="J82" s="241" t="n"/>
      <c r="K82" s="241" t="n"/>
      <c r="L82" s="241" t="n"/>
      <c r="M82" s="241" t="n"/>
      <c r="N82" s="241" t="n"/>
      <c r="O82" s="241" t="n"/>
      <c r="P82" s="241" t="n"/>
      <c r="Q82" s="241" t="n"/>
      <c r="R82" s="241" t="n"/>
      <c r="S82" s="241" t="n"/>
      <c r="T82" s="241" t="n"/>
      <c r="U82" s="241" t="n"/>
      <c r="V82" s="241" t="n"/>
      <c r="W82" s="241" t="n"/>
      <c r="X82" s="241" t="n"/>
      <c r="Y82" s="241" t="n"/>
      <c r="Z82" s="241" t="n"/>
      <c r="AA82" s="241" t="n"/>
      <c r="AB82" s="241" t="n"/>
      <c r="AC82" s="241" t="n"/>
      <c r="AD82" s="241" t="n"/>
      <c r="AE82" s="241" t="n"/>
      <c r="AF82" s="241" t="n"/>
      <c r="AG82" s="241" t="n"/>
      <c r="AH82" s="241" t="n"/>
      <c r="AI82" s="241" t="n"/>
      <c r="AJ82" s="241" t="n"/>
      <c r="AK82" s="241" t="n"/>
    </row>
    <row r="83" ht="32" customHeight="1" s="239">
      <c r="A83" s="158" t="n">
        <v>4</v>
      </c>
      <c r="B83" s="157" t="inlineStr">
        <is>
          <t>Free Cash Flow</t>
        </is>
      </c>
      <c r="C83" s="158">
        <f>IFERROR(C82-C80-C81,"")</f>
        <v/>
      </c>
      <c r="D83" s="158">
        <f>IFERROR(D82-D80-D81,"")</f>
        <v/>
      </c>
      <c r="E83" s="158">
        <f>IFERROR(E82-E80-E81,"")</f>
        <v/>
      </c>
      <c r="F83" s="158">
        <f>IFERROR(F82-F80-F81,"")</f>
        <v/>
      </c>
      <c r="G83" s="158">
        <f>IFERROR(SUM(C83:F83),"")</f>
        <v/>
      </c>
      <c r="H83" s="157" t="n"/>
      <c r="I83" s="241" t="n"/>
      <c r="J83" s="241" t="n"/>
      <c r="K83" s="241" t="n"/>
      <c r="L83" s="241" t="n"/>
      <c r="M83" s="241" t="n"/>
      <c r="N83" s="241" t="n"/>
      <c r="O83" s="241" t="n"/>
      <c r="P83" s="241" t="n"/>
      <c r="Q83" s="241" t="n"/>
      <c r="R83" s="241" t="n"/>
      <c r="S83" s="241" t="n"/>
      <c r="T83" s="241" t="n"/>
      <c r="U83" s="241" t="n"/>
      <c r="V83" s="241" t="n"/>
      <c r="W83" s="241" t="n"/>
      <c r="X83" s="241" t="n"/>
      <c r="Y83" s="241" t="n"/>
      <c r="Z83" s="241" t="n"/>
      <c r="AA83" s="241" t="n"/>
      <c r="AB83" s="241" t="n"/>
      <c r="AC83" s="241" t="n"/>
      <c r="AD83" s="241" t="n"/>
      <c r="AE83" s="241" t="n"/>
      <c r="AF83" s="241" t="n"/>
      <c r="AG83" s="241" t="n"/>
      <c r="AH83" s="241" t="n"/>
      <c r="AI83" s="241" t="n"/>
      <c r="AJ83" s="241" t="n"/>
      <c r="AK83" s="241" t="n"/>
    </row>
    <row r="84" ht="16" customHeight="1" s="239">
      <c r="A84" s="158" t="n">
        <v>4</v>
      </c>
      <c r="B84" s="157" t="inlineStr">
        <is>
          <t>CFADS</t>
        </is>
      </c>
      <c r="C84" s="158">
        <f>IFERROR(FEED_FARM!E23,"")</f>
        <v/>
      </c>
      <c r="D84" s="158">
        <f>IFERROR(DAIRY!E16,"")</f>
        <v/>
      </c>
      <c r="E84" s="158">
        <f>IFERROR(FATTENING!E21,"")</f>
        <v/>
      </c>
      <c r="F84" s="158">
        <f>IFERROR(LOGISTICS!E12,"")</f>
        <v/>
      </c>
      <c r="G84" s="158">
        <f>IFERROR(SUM(C84:F84),"")</f>
        <v/>
      </c>
      <c r="H84" s="157" t="n"/>
      <c r="I84" s="241" t="n"/>
      <c r="J84" s="241" t="n"/>
      <c r="K84" s="241" t="n"/>
      <c r="L84" s="241" t="n"/>
      <c r="M84" s="241" t="n"/>
      <c r="N84" s="241" t="n"/>
      <c r="O84" s="241" t="n"/>
      <c r="P84" s="241" t="n"/>
      <c r="Q84" s="241" t="n"/>
      <c r="R84" s="241" t="n"/>
      <c r="S84" s="241" t="n"/>
      <c r="T84" s="241" t="n"/>
      <c r="U84" s="241" t="n"/>
      <c r="V84" s="241" t="n"/>
      <c r="W84" s="241" t="n"/>
      <c r="X84" s="241" t="n"/>
      <c r="Y84" s="241" t="n"/>
      <c r="Z84" s="241" t="n"/>
      <c r="AA84" s="241" t="n"/>
      <c r="AB84" s="241" t="n"/>
      <c r="AC84" s="241" t="n"/>
      <c r="AD84" s="241" t="n"/>
      <c r="AE84" s="241" t="n"/>
      <c r="AF84" s="241" t="n"/>
      <c r="AG84" s="241" t="n"/>
      <c r="AH84" s="241" t="n"/>
      <c r="AI84" s="241" t="n"/>
      <c r="AJ84" s="241" t="n"/>
      <c r="AK84" s="241" t="n"/>
    </row>
    <row r="85" ht="32" customHeight="1" s="239">
      <c r="A85" s="140" t="n">
        <v>4</v>
      </c>
      <c r="B85" s="241" t="inlineStr">
        <is>
          <t>Debt Service Capacity</t>
        </is>
      </c>
      <c r="C85" s="140">
        <f>IFERROR(C84/ASSUMPTIONS!$B$16,0)</f>
        <v/>
      </c>
      <c r="D85" s="140">
        <f>IFERROR(D84/ASSUMPTIONS!$B$16,0)</f>
        <v/>
      </c>
      <c r="E85" s="140">
        <f>IFERROR(E84/ASSUMPTIONS!$B$16,0)</f>
        <v/>
      </c>
      <c r="F85" s="140">
        <f>IFERROR(F84/ASSUMPTIONS!$B$16,0)</f>
        <v/>
      </c>
      <c r="G85" s="140">
        <f>IFERROR(SUM(C85:F85),"")</f>
        <v/>
      </c>
      <c r="H85" s="241" t="n"/>
      <c r="I85" s="241" t="n"/>
      <c r="J85" s="241" t="n"/>
      <c r="K85" s="241" t="n"/>
      <c r="L85" s="241" t="n"/>
      <c r="M85" s="241" t="n"/>
      <c r="N85" s="241" t="n"/>
      <c r="O85" s="241" t="n"/>
      <c r="P85" s="241" t="n"/>
      <c r="Q85" s="241" t="n"/>
      <c r="R85" s="241" t="n"/>
      <c r="S85" s="241" t="n"/>
      <c r="T85" s="241" t="n"/>
      <c r="U85" s="241" t="n"/>
      <c r="V85" s="241" t="n"/>
      <c r="W85" s="241" t="n"/>
      <c r="X85" s="241" t="n"/>
      <c r="Y85" s="241" t="n"/>
      <c r="Z85" s="241" t="n"/>
      <c r="AA85" s="241" t="n"/>
      <c r="AB85" s="241" t="n"/>
      <c r="AC85" s="241" t="n"/>
      <c r="AD85" s="241" t="n"/>
      <c r="AE85" s="241" t="n"/>
      <c r="AF85" s="241" t="n"/>
      <c r="AG85" s="241" t="n"/>
      <c r="AH85" s="241" t="n"/>
      <c r="AI85" s="241" t="n"/>
      <c r="AJ85" s="241" t="n"/>
      <c r="AK85" s="241" t="n"/>
    </row>
    <row r="86" ht="16" customHeight="1" s="239">
      <c r="A86" s="158" t="n">
        <v>4</v>
      </c>
      <c r="B86" s="157" t="inlineStr">
        <is>
          <t>Ending Cash</t>
        </is>
      </c>
      <c r="C86" s="158">
        <f>IFERROR(SUM(C78:C85),"")</f>
        <v/>
      </c>
      <c r="D86" s="158">
        <f>IFERROR(SUM(D78:D85),"")</f>
        <v/>
      </c>
      <c r="E86" s="158">
        <f>IFERROR(SUM(E78:E85),"")</f>
        <v/>
      </c>
      <c r="F86" s="158">
        <f>IFERROR(SUM(F78:F85),"")</f>
        <v/>
      </c>
      <c r="G86" s="158">
        <f>IFERROR(SUM(C86:F86),"")</f>
        <v/>
      </c>
      <c r="H86" s="157" t="n"/>
      <c r="I86" s="241" t="n"/>
      <c r="J86" s="241" t="n"/>
      <c r="K86" s="241" t="n"/>
      <c r="L86" s="241" t="n"/>
      <c r="M86" s="241" t="n"/>
      <c r="N86" s="241" t="n"/>
      <c r="O86" s="241" t="n"/>
      <c r="P86" s="241" t="n"/>
      <c r="Q86" s="241" t="n"/>
      <c r="R86" s="241" t="n"/>
      <c r="S86" s="241" t="n"/>
      <c r="T86" s="241" t="n"/>
      <c r="U86" s="241" t="n"/>
      <c r="V86" s="241" t="n"/>
      <c r="W86" s="241" t="n"/>
      <c r="X86" s="241" t="n"/>
      <c r="Y86" s="241" t="n"/>
      <c r="Z86" s="241" t="n"/>
      <c r="AA86" s="241" t="n"/>
      <c r="AB86" s="241" t="n"/>
      <c r="AC86" s="241" t="n"/>
      <c r="AD86" s="241" t="n"/>
      <c r="AE86" s="241" t="n"/>
      <c r="AF86" s="241" t="n"/>
      <c r="AG86" s="241" t="n"/>
      <c r="AH86" s="241" t="n"/>
      <c r="AI86" s="241" t="n"/>
      <c r="AJ86" s="241" t="n"/>
      <c r="AK86" s="241" t="n"/>
    </row>
    <row r="87" ht="16" customHeight="1" s="239">
      <c r="A87" s="140" t="n">
        <v>5</v>
      </c>
      <c r="B87" s="241" t="inlineStr">
        <is>
          <t>EBITDA</t>
        </is>
      </c>
      <c r="C87" s="140">
        <f>IFERROR(FEED_FARM!F22,"")</f>
        <v/>
      </c>
      <c r="D87" s="140">
        <f>IFERROR(DAIRY!F15,"")</f>
        <v/>
      </c>
      <c r="E87" s="140">
        <f>IFERROR(FATTENING!F20,"")</f>
        <v/>
      </c>
      <c r="F87" s="140">
        <f>IFERROR(LOGISTICS!F11,"")</f>
        <v/>
      </c>
      <c r="G87" s="140">
        <f>IFERROR(SUM(C87:F87),"")</f>
        <v/>
      </c>
      <c r="H87" s="241" t="n"/>
      <c r="I87" s="241" t="n"/>
      <c r="J87" s="241" t="n"/>
      <c r="K87" s="241" t="n"/>
      <c r="L87" s="241" t="n"/>
      <c r="M87" s="241" t="n"/>
      <c r="N87" s="241" t="n"/>
      <c r="O87" s="241" t="n"/>
      <c r="P87" s="241" t="n"/>
      <c r="Q87" s="241" t="n"/>
      <c r="R87" s="241" t="n"/>
      <c r="S87" s="241" t="n"/>
      <c r="T87" s="241" t="n"/>
      <c r="U87" s="241" t="n"/>
      <c r="V87" s="241" t="n"/>
      <c r="W87" s="241" t="n"/>
      <c r="X87" s="241" t="n"/>
      <c r="Y87" s="241" t="n"/>
      <c r="Z87" s="241" t="n"/>
      <c r="AA87" s="241" t="n"/>
      <c r="AB87" s="241" t="n"/>
      <c r="AC87" s="241" t="n"/>
      <c r="AD87" s="241" t="n"/>
      <c r="AE87" s="241" t="n"/>
      <c r="AF87" s="241" t="n"/>
      <c r="AG87" s="241" t="n"/>
      <c r="AH87" s="241" t="n"/>
      <c r="AI87" s="241" t="n"/>
      <c r="AJ87" s="241" t="n"/>
      <c r="AK87" s="241" t="n"/>
    </row>
    <row r="88" ht="32" customHeight="1" s="239">
      <c r="A88" s="140" t="n">
        <v>5</v>
      </c>
      <c r="B88" s="241" t="inlineStr">
        <is>
          <t>Working Capital</t>
        </is>
      </c>
      <c r="C88" s="140">
        <f>IFERROR(WORKING_CAPITAL!F$16,"")</f>
        <v/>
      </c>
      <c r="D88" s="140">
        <f>IFERROR(WORKING_CAPITAL!F$20,"")</f>
        <v/>
      </c>
      <c r="E88" s="140">
        <f>IFERROR(WORKING_CAPITAL!F$21,"")</f>
        <v/>
      </c>
      <c r="F88" s="140">
        <f>IFERROR(WORKING_CAPITAL!F$22,"")</f>
        <v/>
      </c>
      <c r="G88" s="140">
        <f>IFERROR(SUM(C88:F88),"")</f>
        <v/>
      </c>
      <c r="H88" s="241" t="n"/>
      <c r="I88" s="241" t="n"/>
      <c r="J88" s="241" t="n"/>
      <c r="K88" s="241" t="n"/>
      <c r="L88" s="241" t="n"/>
      <c r="M88" s="241" t="n"/>
      <c r="N88" s="241" t="n"/>
      <c r="O88" s="241" t="n"/>
      <c r="P88" s="241" t="n"/>
      <c r="Q88" s="241" t="n"/>
      <c r="R88" s="241" t="n"/>
      <c r="S88" s="241" t="n"/>
      <c r="T88" s="241" t="n"/>
      <c r="U88" s="241" t="n"/>
      <c r="V88" s="241" t="n"/>
      <c r="W88" s="241" t="n"/>
      <c r="X88" s="241" t="n"/>
      <c r="Y88" s="241" t="n"/>
      <c r="Z88" s="241" t="n"/>
      <c r="AA88" s="241" t="n"/>
      <c r="AB88" s="241" t="n"/>
      <c r="AC88" s="241" t="n"/>
      <c r="AD88" s="241" t="n"/>
      <c r="AE88" s="241" t="n"/>
      <c r="AF88" s="241" t="n"/>
      <c r="AG88" s="241" t="n"/>
      <c r="AH88" s="241" t="n"/>
      <c r="AI88" s="241" t="n"/>
      <c r="AJ88" s="241" t="n"/>
      <c r="AK88" s="241" t="n"/>
    </row>
    <row r="89" ht="32" customHeight="1" s="239">
      <c r="A89" s="140" t="n">
        <v>5</v>
      </c>
      <c r="B89" s="241" t="inlineStr">
        <is>
          <t>Maintenance CAPEX</t>
        </is>
      </c>
      <c r="C89" s="140">
        <f>IFERROR(CAPEX!H$11*0.03,"")</f>
        <v/>
      </c>
      <c r="D89" s="140">
        <f>IFERROR(CAPEX!H$11*0.07,"")</f>
        <v/>
      </c>
      <c r="E89" s="140">
        <f>IFERROR(CAPEX!H$11*0.02,"")</f>
        <v/>
      </c>
      <c r="F89" s="140">
        <f>IFERROR(CAPEX!H$11*0.03,"")</f>
        <v/>
      </c>
      <c r="G89" s="140">
        <f>IFERROR(SUM(C89:F89),"")</f>
        <v/>
      </c>
      <c r="H89" s="241" t="n"/>
      <c r="I89" s="241" t="n"/>
      <c r="J89" s="241" t="n"/>
      <c r="K89" s="241" t="n"/>
      <c r="L89" s="241" t="n"/>
      <c r="M89" s="241" t="n"/>
      <c r="N89" s="241" t="n"/>
      <c r="O89" s="241" t="n"/>
      <c r="P89" s="241" t="n"/>
      <c r="Q89" s="241" t="n"/>
      <c r="R89" s="241" t="n"/>
      <c r="S89" s="241" t="n"/>
      <c r="T89" s="241" t="n"/>
      <c r="U89" s="241" t="n"/>
      <c r="V89" s="241" t="n"/>
      <c r="W89" s="241" t="n"/>
      <c r="X89" s="241" t="n"/>
      <c r="Y89" s="241" t="n"/>
      <c r="Z89" s="241" t="n"/>
      <c r="AA89" s="241" t="n"/>
      <c r="AB89" s="241" t="n"/>
      <c r="AC89" s="241" t="n"/>
      <c r="AD89" s="241" t="n"/>
      <c r="AE89" s="241" t="n"/>
      <c r="AF89" s="241" t="n"/>
      <c r="AG89" s="241" t="n"/>
      <c r="AH89" s="241" t="n"/>
      <c r="AI89" s="241" t="n"/>
      <c r="AJ89" s="241" t="n"/>
      <c r="AK89" s="241" t="n"/>
    </row>
    <row r="90" ht="32" customHeight="1" s="239">
      <c r="A90" s="140" t="n">
        <v>5</v>
      </c>
      <c r="B90" s="241" t="inlineStr">
        <is>
          <t>Expansion CAPEX</t>
        </is>
      </c>
      <c r="C90" s="140">
        <f>IFERROR(CAPEX!H$11*0.15,"")</f>
        <v/>
      </c>
      <c r="D90" s="140">
        <f>IFERROR(CAPEX!H$11*0.7,"")</f>
        <v/>
      </c>
      <c r="E90" s="140">
        <f>IFERROR(CAPEX!H$11*0.05,"")</f>
        <v/>
      </c>
      <c r="F90" s="140">
        <f>IFERROR(CAPEX!H$11*0.1,"")</f>
        <v/>
      </c>
      <c r="G90" s="140">
        <f>IFERROR(SUM(C90:F90),"")</f>
        <v/>
      </c>
      <c r="H90" s="241" t="n"/>
      <c r="I90" s="241" t="n"/>
      <c r="J90" s="241" t="n"/>
      <c r="K90" s="241" t="n"/>
      <c r="L90" s="241" t="n"/>
      <c r="M90" s="241" t="n"/>
      <c r="N90" s="241" t="n"/>
      <c r="O90" s="241" t="n"/>
      <c r="P90" s="241" t="n"/>
      <c r="Q90" s="241" t="n"/>
      <c r="R90" s="241" t="n"/>
      <c r="S90" s="241" t="n"/>
      <c r="T90" s="241" t="n"/>
      <c r="U90" s="241" t="n"/>
      <c r="V90" s="241" t="n"/>
      <c r="W90" s="241" t="n"/>
      <c r="X90" s="241" t="n"/>
      <c r="Y90" s="241" t="n"/>
      <c r="Z90" s="241" t="n"/>
      <c r="AA90" s="241" t="n"/>
      <c r="AB90" s="241" t="n"/>
      <c r="AC90" s="241" t="n"/>
      <c r="AD90" s="241" t="n"/>
      <c r="AE90" s="241" t="n"/>
      <c r="AF90" s="241" t="n"/>
      <c r="AG90" s="241" t="n"/>
      <c r="AH90" s="241" t="n"/>
      <c r="AI90" s="241" t="n"/>
      <c r="AJ90" s="241" t="n"/>
      <c r="AK90" s="241" t="n"/>
    </row>
    <row r="91" ht="32" customHeight="1" s="239">
      <c r="A91" s="158" t="n">
        <v>5</v>
      </c>
      <c r="B91" s="157" t="inlineStr">
        <is>
          <t>Operating Cash Flow</t>
        </is>
      </c>
      <c r="C91" s="158">
        <f>IFERROR(C87-C88,"")</f>
        <v/>
      </c>
      <c r="D91" s="158">
        <f>IFERROR(D87-D88,"")</f>
        <v/>
      </c>
      <c r="E91" s="158">
        <f>IFERROR(E87-E88,"")</f>
        <v/>
      </c>
      <c r="F91" s="158">
        <f>IFERROR(F87-F88,"")</f>
        <v/>
      </c>
      <c r="G91" s="158">
        <f>IFERROR(SUM(C91:F91),"")</f>
        <v/>
      </c>
      <c r="H91" s="157" t="n"/>
      <c r="I91" s="241" t="n"/>
      <c r="J91" s="241" t="n"/>
      <c r="K91" s="241" t="n"/>
      <c r="L91" s="241" t="n"/>
      <c r="M91" s="241" t="n"/>
      <c r="N91" s="241" t="n"/>
      <c r="O91" s="241" t="n"/>
      <c r="P91" s="241" t="n"/>
      <c r="Q91" s="241" t="n"/>
      <c r="R91" s="241" t="n"/>
      <c r="S91" s="241" t="n"/>
      <c r="T91" s="241" t="n"/>
      <c r="U91" s="241" t="n"/>
      <c r="V91" s="241" t="n"/>
      <c r="W91" s="241" t="n"/>
      <c r="X91" s="241" t="n"/>
      <c r="Y91" s="241" t="n"/>
      <c r="Z91" s="241" t="n"/>
      <c r="AA91" s="241" t="n"/>
      <c r="AB91" s="241" t="n"/>
      <c r="AC91" s="241" t="n"/>
      <c r="AD91" s="241" t="n"/>
      <c r="AE91" s="241" t="n"/>
      <c r="AF91" s="241" t="n"/>
      <c r="AG91" s="241" t="n"/>
      <c r="AH91" s="241" t="n"/>
      <c r="AI91" s="241" t="n"/>
      <c r="AJ91" s="241" t="n"/>
      <c r="AK91" s="241" t="n"/>
    </row>
    <row r="92" ht="32" customHeight="1" s="239">
      <c r="A92" s="158" t="n">
        <v>5</v>
      </c>
      <c r="B92" s="157" t="inlineStr">
        <is>
          <t>Free Cash Flow</t>
        </is>
      </c>
      <c r="C92" s="158">
        <f>IFERROR(C91-C89-C90,"")</f>
        <v/>
      </c>
      <c r="D92" s="158">
        <f>IFERROR(D91-D89-D90,"")</f>
        <v/>
      </c>
      <c r="E92" s="158">
        <f>IFERROR(E91-E89-E90,"")</f>
        <v/>
      </c>
      <c r="F92" s="158">
        <f>IFERROR(F91-F89-F90,"")</f>
        <v/>
      </c>
      <c r="G92" s="158">
        <f>IFERROR(SUM(C92:F92),"")</f>
        <v/>
      </c>
      <c r="H92" s="157" t="n"/>
      <c r="I92" s="241" t="n"/>
      <c r="J92" s="241" t="n"/>
      <c r="K92" s="241" t="n"/>
      <c r="L92" s="241" t="n"/>
      <c r="M92" s="241" t="n"/>
      <c r="N92" s="241" t="n"/>
      <c r="O92" s="241" t="n"/>
      <c r="P92" s="241" t="n"/>
      <c r="Q92" s="241" t="n"/>
      <c r="R92" s="241" t="n"/>
      <c r="S92" s="241" t="n"/>
      <c r="T92" s="241" t="n"/>
      <c r="U92" s="241" t="n"/>
      <c r="V92" s="241" t="n"/>
      <c r="W92" s="241" t="n"/>
      <c r="X92" s="241" t="n"/>
      <c r="Y92" s="241" t="n"/>
      <c r="Z92" s="241" t="n"/>
      <c r="AA92" s="241" t="n"/>
      <c r="AB92" s="241" t="n"/>
      <c r="AC92" s="241" t="n"/>
      <c r="AD92" s="241" t="n"/>
      <c r="AE92" s="241" t="n"/>
      <c r="AF92" s="241" t="n"/>
      <c r="AG92" s="241" t="n"/>
      <c r="AH92" s="241" t="n"/>
      <c r="AI92" s="241" t="n"/>
      <c r="AJ92" s="241" t="n"/>
      <c r="AK92" s="241" t="n"/>
    </row>
    <row r="93" ht="16" customHeight="1" s="239">
      <c r="A93" s="158" t="n">
        <v>5</v>
      </c>
      <c r="B93" s="157" t="inlineStr">
        <is>
          <t>CFADS</t>
        </is>
      </c>
      <c r="C93" s="158">
        <f>IFERROR(FEED_FARM!F23,"")</f>
        <v/>
      </c>
      <c r="D93" s="158">
        <f>IFERROR(DAIRY!F16,"")</f>
        <v/>
      </c>
      <c r="E93" s="158">
        <f>IFERROR(FATTENING!F21,"")</f>
        <v/>
      </c>
      <c r="F93" s="158">
        <f>IFERROR(LOGISTICS!F12,"")</f>
        <v/>
      </c>
      <c r="G93" s="158">
        <f>IFERROR(SUM(C93:F93),"")</f>
        <v/>
      </c>
      <c r="H93" s="157" t="n"/>
      <c r="I93" s="241" t="n"/>
      <c r="J93" s="241" t="n"/>
      <c r="K93" s="241" t="n"/>
      <c r="L93" s="241" t="n"/>
      <c r="M93" s="241" t="n"/>
      <c r="N93" s="241" t="n"/>
      <c r="O93" s="241" t="n"/>
      <c r="P93" s="241" t="n"/>
      <c r="Q93" s="241" t="n"/>
      <c r="R93" s="241" t="n"/>
      <c r="S93" s="241" t="n"/>
      <c r="T93" s="241" t="n"/>
      <c r="U93" s="241" t="n"/>
      <c r="V93" s="241" t="n"/>
      <c r="W93" s="241" t="n"/>
      <c r="X93" s="241" t="n"/>
      <c r="Y93" s="241" t="n"/>
      <c r="Z93" s="241" t="n"/>
      <c r="AA93" s="241" t="n"/>
      <c r="AB93" s="241" t="n"/>
      <c r="AC93" s="241" t="n"/>
      <c r="AD93" s="241" t="n"/>
      <c r="AE93" s="241" t="n"/>
      <c r="AF93" s="241" t="n"/>
      <c r="AG93" s="241" t="n"/>
      <c r="AH93" s="241" t="n"/>
      <c r="AI93" s="241" t="n"/>
      <c r="AJ93" s="241" t="n"/>
      <c r="AK93" s="241" t="n"/>
    </row>
    <row r="94" ht="32" customHeight="1" s="239">
      <c r="A94" s="140" t="n">
        <v>5</v>
      </c>
      <c r="B94" s="241" t="inlineStr">
        <is>
          <t>Debt Service Capacity</t>
        </is>
      </c>
      <c r="C94" s="140">
        <f>IFERROR(C93/ASSUMPTIONS!$B$16,0)</f>
        <v/>
      </c>
      <c r="D94" s="140">
        <f>IFERROR(D93/ASSUMPTIONS!$B$16,0)</f>
        <v/>
      </c>
      <c r="E94" s="140">
        <f>IFERROR(E93/ASSUMPTIONS!$B$16,0)</f>
        <v/>
      </c>
      <c r="F94" s="140">
        <f>IFERROR(F93/ASSUMPTIONS!$B$16,0)</f>
        <v/>
      </c>
      <c r="G94" s="140">
        <f>IFERROR(SUM(C94:F94),"")</f>
        <v/>
      </c>
      <c r="H94" s="241" t="n"/>
      <c r="I94" s="241" t="n"/>
      <c r="J94" s="241" t="n"/>
      <c r="K94" s="241" t="n"/>
      <c r="L94" s="241" t="n"/>
      <c r="M94" s="241" t="n"/>
      <c r="N94" s="241" t="n"/>
      <c r="O94" s="241" t="n"/>
      <c r="P94" s="241" t="n"/>
      <c r="Q94" s="241" t="n"/>
      <c r="R94" s="241" t="n"/>
      <c r="S94" s="241" t="n"/>
      <c r="T94" s="241" t="n"/>
      <c r="U94" s="241" t="n"/>
      <c r="V94" s="241" t="n"/>
      <c r="W94" s="241" t="n"/>
      <c r="X94" s="241" t="n"/>
      <c r="Y94" s="241" t="n"/>
      <c r="Z94" s="241" t="n"/>
      <c r="AA94" s="241" t="n"/>
      <c r="AB94" s="241" t="n"/>
      <c r="AC94" s="241" t="n"/>
      <c r="AD94" s="241" t="n"/>
      <c r="AE94" s="241" t="n"/>
      <c r="AF94" s="241" t="n"/>
      <c r="AG94" s="241" t="n"/>
      <c r="AH94" s="241" t="n"/>
      <c r="AI94" s="241" t="n"/>
      <c r="AJ94" s="241" t="n"/>
      <c r="AK94" s="241" t="n"/>
    </row>
    <row r="95" ht="16" customHeight="1" s="239">
      <c r="A95" s="158" t="n">
        <v>5</v>
      </c>
      <c r="B95" s="157" t="inlineStr">
        <is>
          <t>Ending Cash</t>
        </is>
      </c>
      <c r="C95" s="158">
        <f>IFERROR(SUM(C87:C94),"")</f>
        <v/>
      </c>
      <c r="D95" s="158">
        <f>IFERROR(SUM(D87:D94),"")</f>
        <v/>
      </c>
      <c r="E95" s="158">
        <f>IFERROR(SUM(E87:E94),"")</f>
        <v/>
      </c>
      <c r="F95" s="158">
        <f>IFERROR(SUM(F87:F94),"")</f>
        <v/>
      </c>
      <c r="G95" s="158">
        <f>IFERROR(SUM(C95:F95),"")</f>
        <v/>
      </c>
      <c r="H95" s="157" t="n"/>
      <c r="I95" s="241" t="n"/>
      <c r="J95" s="241" t="n"/>
      <c r="K95" s="241" t="n"/>
      <c r="L95" s="241" t="n"/>
      <c r="M95" s="241" t="n"/>
      <c r="N95" s="241" t="n"/>
      <c r="O95" s="241" t="n"/>
      <c r="P95" s="241" t="n"/>
      <c r="Q95" s="241" t="n"/>
      <c r="R95" s="241" t="n"/>
      <c r="S95" s="241" t="n"/>
      <c r="T95" s="241" t="n"/>
      <c r="U95" s="241" t="n"/>
      <c r="V95" s="241" t="n"/>
      <c r="W95" s="241" t="n"/>
      <c r="X95" s="241" t="n"/>
      <c r="Y95" s="241" t="n"/>
      <c r="Z95" s="241" t="n"/>
      <c r="AA95" s="241" t="n"/>
      <c r="AB95" s="241" t="n"/>
      <c r="AC95" s="241" t="n"/>
      <c r="AD95" s="241" t="n"/>
      <c r="AE95" s="241" t="n"/>
      <c r="AF95" s="241" t="n"/>
      <c r="AG95" s="241" t="n"/>
      <c r="AH95" s="241" t="n"/>
      <c r="AI95" s="241" t="n"/>
      <c r="AJ95" s="241" t="n"/>
      <c r="AK95" s="241" t="n"/>
    </row>
    <row r="96" ht="16" customHeight="1" s="239">
      <c r="A96" s="140" t="n">
        <v>6</v>
      </c>
      <c r="B96" s="241" t="inlineStr">
        <is>
          <t>EBITDA</t>
        </is>
      </c>
      <c r="C96" s="140">
        <f>IFERROR(FEED_FARM!G22,"")</f>
        <v/>
      </c>
      <c r="D96" s="140">
        <f>IFERROR(DAIRY!G15,"")</f>
        <v/>
      </c>
      <c r="E96" s="140">
        <f>IFERROR(FATTENING!G20,"")</f>
        <v/>
      </c>
      <c r="F96" s="140">
        <f>IFERROR(LOGISTICS!G11,"")</f>
        <v/>
      </c>
      <c r="G96" s="140">
        <f>IFERROR(SUM(C96:F96),"")</f>
        <v/>
      </c>
      <c r="H96" s="241" t="n"/>
      <c r="I96" s="241" t="n"/>
      <c r="J96" s="241" t="n"/>
      <c r="K96" s="241" t="n"/>
      <c r="L96" s="241" t="n"/>
      <c r="M96" s="241" t="n"/>
      <c r="N96" s="241" t="n"/>
      <c r="O96" s="241" t="n"/>
      <c r="P96" s="241" t="n"/>
      <c r="Q96" s="241" t="n"/>
      <c r="R96" s="241" t="n"/>
      <c r="S96" s="241" t="n"/>
      <c r="T96" s="241" t="n"/>
      <c r="U96" s="241" t="n"/>
      <c r="V96" s="241" t="n"/>
      <c r="W96" s="241" t="n"/>
      <c r="X96" s="241" t="n"/>
      <c r="Y96" s="241" t="n"/>
      <c r="Z96" s="241" t="n"/>
      <c r="AA96" s="241" t="n"/>
      <c r="AB96" s="241" t="n"/>
      <c r="AC96" s="241" t="n"/>
      <c r="AD96" s="241" t="n"/>
      <c r="AE96" s="241" t="n"/>
      <c r="AF96" s="241" t="n"/>
      <c r="AG96" s="241" t="n"/>
      <c r="AH96" s="241" t="n"/>
      <c r="AI96" s="241" t="n"/>
      <c r="AJ96" s="241" t="n"/>
      <c r="AK96" s="241" t="n"/>
    </row>
    <row r="97" ht="32" customHeight="1" s="239">
      <c r="A97" s="140" t="n">
        <v>6</v>
      </c>
      <c r="B97" s="241" t="inlineStr">
        <is>
          <t>Working Capital</t>
        </is>
      </c>
      <c r="C97" s="140">
        <f>IFERROR(WORKING_CAPITAL!G$16,"")</f>
        <v/>
      </c>
      <c r="D97" s="140">
        <f>IFERROR(WORKING_CAPITAL!G$20,"")</f>
        <v/>
      </c>
      <c r="E97" s="140">
        <f>IFERROR(WORKING_CAPITAL!G$21,"")</f>
        <v/>
      </c>
      <c r="F97" s="140">
        <f>IFERROR(WORKING_CAPITAL!G$22,"")</f>
        <v/>
      </c>
      <c r="G97" s="140">
        <f>IFERROR(SUM(C97:F97),"")</f>
        <v/>
      </c>
      <c r="H97" s="241" t="n"/>
      <c r="I97" s="241" t="n"/>
      <c r="J97" s="241" t="n"/>
      <c r="K97" s="241" t="n"/>
      <c r="L97" s="241" t="n"/>
      <c r="M97" s="241" t="n"/>
      <c r="N97" s="241" t="n"/>
      <c r="O97" s="241" t="n"/>
      <c r="P97" s="241" t="n"/>
      <c r="Q97" s="241" t="n"/>
      <c r="R97" s="241" t="n"/>
      <c r="S97" s="241" t="n"/>
      <c r="T97" s="241" t="n"/>
      <c r="U97" s="241" t="n"/>
      <c r="V97" s="241" t="n"/>
      <c r="W97" s="241" t="n"/>
      <c r="X97" s="241" t="n"/>
      <c r="Y97" s="241" t="n"/>
      <c r="Z97" s="241" t="n"/>
      <c r="AA97" s="241" t="n"/>
      <c r="AB97" s="241" t="n"/>
      <c r="AC97" s="241" t="n"/>
      <c r="AD97" s="241" t="n"/>
      <c r="AE97" s="241" t="n"/>
      <c r="AF97" s="241" t="n"/>
      <c r="AG97" s="241" t="n"/>
      <c r="AH97" s="241" t="n"/>
      <c r="AI97" s="241" t="n"/>
      <c r="AJ97" s="241" t="n"/>
      <c r="AK97" s="241" t="n"/>
    </row>
    <row r="98" ht="32" customHeight="1" s="239">
      <c r="A98" s="140" t="n">
        <v>6</v>
      </c>
      <c r="B98" s="241" t="inlineStr">
        <is>
          <t>Maintenance CAPEX</t>
        </is>
      </c>
      <c r="C98" s="140">
        <f>IFERROR(CAPEX!I$11*0.03,"")</f>
        <v/>
      </c>
      <c r="D98" s="140">
        <f>IFERROR(CAPEX!I$11*0.07,"")</f>
        <v/>
      </c>
      <c r="E98" s="140">
        <f>IFERROR(CAPEX!I$11*0.02,"")</f>
        <v/>
      </c>
      <c r="F98" s="140">
        <f>IFERROR(CAPEX!I$11*0.03,"")</f>
        <v/>
      </c>
      <c r="G98" s="140">
        <f>IFERROR(SUM(C98:F98),"")</f>
        <v/>
      </c>
      <c r="H98" s="241" t="n"/>
      <c r="I98" s="241" t="n"/>
      <c r="J98" s="241" t="n"/>
      <c r="K98" s="241" t="n"/>
      <c r="L98" s="241" t="n"/>
      <c r="M98" s="241" t="n"/>
      <c r="N98" s="241" t="n"/>
      <c r="O98" s="241" t="n"/>
      <c r="P98" s="241" t="n"/>
      <c r="Q98" s="241" t="n"/>
      <c r="R98" s="241" t="n"/>
      <c r="S98" s="241" t="n"/>
      <c r="T98" s="241" t="n"/>
      <c r="U98" s="241" t="n"/>
      <c r="V98" s="241" t="n"/>
      <c r="W98" s="241" t="n"/>
      <c r="X98" s="241" t="n"/>
      <c r="Y98" s="241" t="n"/>
      <c r="Z98" s="241" t="n"/>
      <c r="AA98" s="241" t="n"/>
      <c r="AB98" s="241" t="n"/>
      <c r="AC98" s="241" t="n"/>
      <c r="AD98" s="241" t="n"/>
      <c r="AE98" s="241" t="n"/>
      <c r="AF98" s="241" t="n"/>
      <c r="AG98" s="241" t="n"/>
      <c r="AH98" s="241" t="n"/>
      <c r="AI98" s="241" t="n"/>
      <c r="AJ98" s="241" t="n"/>
      <c r="AK98" s="241" t="n"/>
    </row>
    <row r="99" ht="32" customHeight="1" s="239">
      <c r="A99" s="140" t="n">
        <v>6</v>
      </c>
      <c r="B99" s="241" t="inlineStr">
        <is>
          <t>Expansion CAPEX</t>
        </is>
      </c>
      <c r="C99" s="140">
        <f>IFERROR(CAPEX!I$11*0.15,"")</f>
        <v/>
      </c>
      <c r="D99" s="140">
        <f>IFERROR(CAPEX!I$11*0.7,"")</f>
        <v/>
      </c>
      <c r="E99" s="140">
        <f>IFERROR(CAPEX!I$11*0.05,"")</f>
        <v/>
      </c>
      <c r="F99" s="140">
        <f>IFERROR(CAPEX!I$11*0.1,"")</f>
        <v/>
      </c>
      <c r="G99" s="140">
        <f>IFERROR(SUM(C99:F99),"")</f>
        <v/>
      </c>
      <c r="H99" s="241" t="n"/>
      <c r="I99" s="241" t="n"/>
      <c r="J99" s="241" t="n"/>
      <c r="K99" s="241" t="n"/>
      <c r="L99" s="241" t="n"/>
      <c r="M99" s="241" t="n"/>
      <c r="N99" s="241" t="n"/>
      <c r="O99" s="241" t="n"/>
      <c r="P99" s="241" t="n"/>
      <c r="Q99" s="241" t="n"/>
      <c r="R99" s="241" t="n"/>
      <c r="S99" s="241" t="n"/>
      <c r="T99" s="241" t="n"/>
      <c r="U99" s="241" t="n"/>
      <c r="V99" s="241" t="n"/>
      <c r="W99" s="241" t="n"/>
      <c r="X99" s="241" t="n"/>
      <c r="Y99" s="241" t="n"/>
      <c r="Z99" s="241" t="n"/>
      <c r="AA99" s="241" t="n"/>
      <c r="AB99" s="241" t="n"/>
      <c r="AC99" s="241" t="n"/>
      <c r="AD99" s="241" t="n"/>
      <c r="AE99" s="241" t="n"/>
      <c r="AF99" s="241" t="n"/>
      <c r="AG99" s="241" t="n"/>
      <c r="AH99" s="241" t="n"/>
      <c r="AI99" s="241" t="n"/>
      <c r="AJ99" s="241" t="n"/>
      <c r="AK99" s="241" t="n"/>
    </row>
    <row r="100" ht="32" customHeight="1" s="239">
      <c r="A100" s="158" t="n">
        <v>6</v>
      </c>
      <c r="B100" s="157" t="inlineStr">
        <is>
          <t>Operating Cash Flow</t>
        </is>
      </c>
      <c r="C100" s="158">
        <f>IFERROR(C96-C97,"")</f>
        <v/>
      </c>
      <c r="D100" s="158">
        <f>IFERROR(D96-D97,"")</f>
        <v/>
      </c>
      <c r="E100" s="158">
        <f>IFERROR(E96-E97,"")</f>
        <v/>
      </c>
      <c r="F100" s="158">
        <f>IFERROR(F96-F97,"")</f>
        <v/>
      </c>
      <c r="G100" s="158">
        <f>IFERROR(SUM(C100:F100),"")</f>
        <v/>
      </c>
      <c r="H100" s="157" t="n"/>
      <c r="I100" s="241" t="n"/>
      <c r="J100" s="241" t="n"/>
      <c r="K100" s="241" t="n"/>
      <c r="L100" s="241" t="n"/>
      <c r="M100" s="241" t="n"/>
      <c r="N100" s="241" t="n"/>
      <c r="O100" s="241" t="n"/>
      <c r="P100" s="241" t="n"/>
      <c r="Q100" s="241" t="n"/>
      <c r="R100" s="241" t="n"/>
      <c r="S100" s="241" t="n"/>
      <c r="T100" s="241" t="n"/>
      <c r="U100" s="241" t="n"/>
      <c r="V100" s="241" t="n"/>
      <c r="W100" s="241" t="n"/>
      <c r="X100" s="241" t="n"/>
      <c r="Y100" s="241" t="n"/>
      <c r="Z100" s="241" t="n"/>
      <c r="AA100" s="241" t="n"/>
      <c r="AB100" s="241" t="n"/>
      <c r="AC100" s="241" t="n"/>
      <c r="AD100" s="241" t="n"/>
      <c r="AE100" s="241" t="n"/>
      <c r="AF100" s="241" t="n"/>
      <c r="AG100" s="241" t="n"/>
      <c r="AH100" s="241" t="n"/>
      <c r="AI100" s="241" t="n"/>
      <c r="AJ100" s="241" t="n"/>
      <c r="AK100" s="241" t="n"/>
    </row>
    <row r="101" ht="32" customHeight="1" s="239">
      <c r="A101" s="158" t="n">
        <v>6</v>
      </c>
      <c r="B101" s="157" t="inlineStr">
        <is>
          <t>Free Cash Flow</t>
        </is>
      </c>
      <c r="C101" s="158">
        <f>IFERROR(C100-C98-C99,"")</f>
        <v/>
      </c>
      <c r="D101" s="158">
        <f>IFERROR(D100-D98-D99,"")</f>
        <v/>
      </c>
      <c r="E101" s="158">
        <f>IFERROR(E100-E98-E99,"")</f>
        <v/>
      </c>
      <c r="F101" s="158">
        <f>IFERROR(F100-F98-F99,"")</f>
        <v/>
      </c>
      <c r="G101" s="158">
        <f>IFERROR(SUM(C101:F101),"")</f>
        <v/>
      </c>
      <c r="H101" s="157" t="n"/>
      <c r="I101" s="241" t="n"/>
      <c r="J101" s="241" t="n"/>
      <c r="K101" s="241" t="n"/>
      <c r="L101" s="241" t="n"/>
      <c r="M101" s="241" t="n"/>
      <c r="N101" s="241" t="n"/>
      <c r="O101" s="241" t="n"/>
      <c r="P101" s="241" t="n"/>
      <c r="Q101" s="241" t="n"/>
      <c r="R101" s="241" t="n"/>
      <c r="S101" s="241" t="n"/>
      <c r="T101" s="241" t="n"/>
      <c r="U101" s="241" t="n"/>
      <c r="V101" s="241" t="n"/>
      <c r="W101" s="241" t="n"/>
      <c r="X101" s="241" t="n"/>
      <c r="Y101" s="241" t="n"/>
      <c r="Z101" s="241" t="n"/>
      <c r="AA101" s="241" t="n"/>
      <c r="AB101" s="241" t="n"/>
      <c r="AC101" s="241" t="n"/>
      <c r="AD101" s="241" t="n"/>
      <c r="AE101" s="241" t="n"/>
      <c r="AF101" s="241" t="n"/>
      <c r="AG101" s="241" t="n"/>
      <c r="AH101" s="241" t="n"/>
      <c r="AI101" s="241" t="n"/>
      <c r="AJ101" s="241" t="n"/>
      <c r="AK101" s="241" t="n"/>
    </row>
    <row r="102" ht="16" customHeight="1" s="239">
      <c r="A102" s="158" t="n">
        <v>6</v>
      </c>
      <c r="B102" s="157" t="inlineStr">
        <is>
          <t>CFADS</t>
        </is>
      </c>
      <c r="C102" s="158">
        <f>IFERROR(FEED_FARM!G23,"")</f>
        <v/>
      </c>
      <c r="D102" s="158">
        <f>IFERROR(DAIRY!G16,"")</f>
        <v/>
      </c>
      <c r="E102" s="158">
        <f>IFERROR(FATTENING!G21,"")</f>
        <v/>
      </c>
      <c r="F102" s="158">
        <f>IFERROR(LOGISTICS!G12,"")</f>
        <v/>
      </c>
      <c r="G102" s="158">
        <f>IFERROR(SUM(C102:F102),"")</f>
        <v/>
      </c>
      <c r="H102" s="157" t="n"/>
      <c r="I102" s="241" t="n"/>
      <c r="J102" s="241" t="n"/>
      <c r="K102" s="241" t="n"/>
      <c r="L102" s="241" t="n"/>
      <c r="M102" s="241" t="n"/>
      <c r="N102" s="241" t="n"/>
      <c r="O102" s="241" t="n"/>
      <c r="P102" s="241" t="n"/>
      <c r="Q102" s="241" t="n"/>
      <c r="R102" s="241" t="n"/>
      <c r="S102" s="241" t="n"/>
      <c r="T102" s="241" t="n"/>
      <c r="U102" s="241" t="n"/>
      <c r="V102" s="241" t="n"/>
      <c r="W102" s="241" t="n"/>
      <c r="X102" s="241" t="n"/>
      <c r="Y102" s="241" t="n"/>
      <c r="Z102" s="241" t="n"/>
      <c r="AA102" s="241" t="n"/>
      <c r="AB102" s="241" t="n"/>
      <c r="AC102" s="241" t="n"/>
      <c r="AD102" s="241" t="n"/>
      <c r="AE102" s="241" t="n"/>
      <c r="AF102" s="241" t="n"/>
      <c r="AG102" s="241" t="n"/>
      <c r="AH102" s="241" t="n"/>
      <c r="AI102" s="241" t="n"/>
      <c r="AJ102" s="241" t="n"/>
      <c r="AK102" s="241" t="n"/>
    </row>
    <row r="103" ht="32" customHeight="1" s="239">
      <c r="A103" s="140" t="n">
        <v>6</v>
      </c>
      <c r="B103" s="241" t="inlineStr">
        <is>
          <t>Debt Service Capacity</t>
        </is>
      </c>
      <c r="C103" s="140">
        <f>IFERROR(C102/ASSUMPTIONS!$B$16,0)</f>
        <v/>
      </c>
      <c r="D103" s="140">
        <f>IFERROR(D102/ASSUMPTIONS!$B$16,0)</f>
        <v/>
      </c>
      <c r="E103" s="140">
        <f>IFERROR(E102/ASSUMPTIONS!$B$16,0)</f>
        <v/>
      </c>
      <c r="F103" s="140">
        <f>IFERROR(F102/ASSUMPTIONS!$B$16,0)</f>
        <v/>
      </c>
      <c r="G103" s="140">
        <f>IFERROR(SUM(C103:F103),"")</f>
        <v/>
      </c>
      <c r="H103" s="241" t="n"/>
      <c r="I103" s="241" t="n"/>
      <c r="J103" s="241" t="n"/>
      <c r="K103" s="241" t="n"/>
      <c r="L103" s="241" t="n"/>
      <c r="M103" s="241" t="n"/>
      <c r="N103" s="241" t="n"/>
      <c r="O103" s="241" t="n"/>
      <c r="P103" s="241" t="n"/>
      <c r="Q103" s="241" t="n"/>
      <c r="R103" s="241" t="n"/>
      <c r="S103" s="241" t="n"/>
      <c r="T103" s="241" t="n"/>
      <c r="U103" s="241" t="n"/>
      <c r="V103" s="241" t="n"/>
      <c r="W103" s="241" t="n"/>
      <c r="X103" s="241" t="n"/>
      <c r="Y103" s="241" t="n"/>
      <c r="Z103" s="241" t="n"/>
      <c r="AA103" s="241" t="n"/>
      <c r="AB103" s="241" t="n"/>
      <c r="AC103" s="241" t="n"/>
      <c r="AD103" s="241" t="n"/>
      <c r="AE103" s="241" t="n"/>
      <c r="AF103" s="241" t="n"/>
      <c r="AG103" s="241" t="n"/>
      <c r="AH103" s="241" t="n"/>
      <c r="AI103" s="241" t="n"/>
      <c r="AJ103" s="241" t="n"/>
      <c r="AK103" s="241" t="n"/>
    </row>
    <row r="104" ht="16" customHeight="1" s="239">
      <c r="A104" s="158" t="n">
        <v>6</v>
      </c>
      <c r="B104" s="157" t="inlineStr">
        <is>
          <t>Ending Cash</t>
        </is>
      </c>
      <c r="C104" s="158">
        <f>IFERROR(SUM(C96:C103),"")</f>
        <v/>
      </c>
      <c r="D104" s="158">
        <f>IFERROR(SUM(D96:D103),"")</f>
        <v/>
      </c>
      <c r="E104" s="158">
        <f>IFERROR(SUM(E96:E103),"")</f>
        <v/>
      </c>
      <c r="F104" s="158">
        <f>IFERROR(SUM(F96:F103),"")</f>
        <v/>
      </c>
      <c r="G104" s="158">
        <f>IFERROR(SUM(C104:F104),"")</f>
        <v/>
      </c>
      <c r="H104" s="157" t="n"/>
      <c r="I104" s="241" t="n"/>
      <c r="J104" s="241" t="n"/>
      <c r="K104" s="241" t="n"/>
      <c r="L104" s="241" t="n"/>
      <c r="M104" s="241" t="n"/>
      <c r="N104" s="241" t="n"/>
      <c r="O104" s="241" t="n"/>
      <c r="P104" s="241" t="n"/>
      <c r="Q104" s="241" t="n"/>
      <c r="R104" s="241" t="n"/>
      <c r="S104" s="241" t="n"/>
      <c r="T104" s="241" t="n"/>
      <c r="U104" s="241" t="n"/>
      <c r="V104" s="241" t="n"/>
      <c r="W104" s="241" t="n"/>
      <c r="X104" s="241" t="n"/>
      <c r="Y104" s="241" t="n"/>
      <c r="Z104" s="241" t="n"/>
      <c r="AA104" s="241" t="n"/>
      <c r="AB104" s="241" t="n"/>
      <c r="AC104" s="241" t="n"/>
      <c r="AD104" s="241" t="n"/>
      <c r="AE104" s="241" t="n"/>
      <c r="AF104" s="241" t="n"/>
      <c r="AG104" s="241" t="n"/>
      <c r="AH104" s="241" t="n"/>
      <c r="AI104" s="241" t="n"/>
      <c r="AJ104" s="241" t="n"/>
      <c r="AK104" s="241" t="n"/>
    </row>
    <row r="105" ht="16" customHeight="1" s="239">
      <c r="A105" s="140" t="n">
        <v>7</v>
      </c>
      <c r="B105" s="241" t="inlineStr">
        <is>
          <t>EBITDA</t>
        </is>
      </c>
      <c r="C105" s="140">
        <f>IFERROR(FEED_FARM!H22,"")</f>
        <v/>
      </c>
      <c r="D105" s="140">
        <f>IFERROR(DAIRY!H15,"")</f>
        <v/>
      </c>
      <c r="E105" s="140">
        <f>IFERROR(FATTENING!H20,"")</f>
        <v/>
      </c>
      <c r="F105" s="140">
        <f>IFERROR(LOGISTICS!H11,"")</f>
        <v/>
      </c>
      <c r="G105" s="140">
        <f>IFERROR(SUM(C105:F105),"")</f>
        <v/>
      </c>
      <c r="H105" s="241" t="n"/>
      <c r="I105" s="241" t="n"/>
      <c r="J105" s="241" t="n"/>
      <c r="K105" s="241" t="n"/>
      <c r="L105" s="241" t="n"/>
      <c r="M105" s="241" t="n"/>
      <c r="N105" s="241" t="n"/>
      <c r="O105" s="241" t="n"/>
      <c r="P105" s="241" t="n"/>
      <c r="Q105" s="241" t="n"/>
      <c r="R105" s="241" t="n"/>
      <c r="S105" s="241" t="n"/>
      <c r="T105" s="241" t="n"/>
      <c r="U105" s="241" t="n"/>
      <c r="V105" s="241" t="n"/>
      <c r="W105" s="241" t="n"/>
      <c r="X105" s="241" t="n"/>
      <c r="Y105" s="241" t="n"/>
      <c r="Z105" s="241" t="n"/>
      <c r="AA105" s="241" t="n"/>
      <c r="AB105" s="241" t="n"/>
      <c r="AC105" s="241" t="n"/>
      <c r="AD105" s="241" t="n"/>
      <c r="AE105" s="241" t="n"/>
      <c r="AF105" s="241" t="n"/>
      <c r="AG105" s="241" t="n"/>
      <c r="AH105" s="241" t="n"/>
      <c r="AI105" s="241" t="n"/>
      <c r="AJ105" s="241" t="n"/>
      <c r="AK105" s="241" t="n"/>
    </row>
    <row r="106" ht="32" customHeight="1" s="239">
      <c r="A106" s="140" t="n">
        <v>7</v>
      </c>
      <c r="B106" s="241" t="inlineStr">
        <is>
          <t>Working Capital</t>
        </is>
      </c>
      <c r="C106" s="140">
        <f>IFERROR(WORKING_CAPITAL!H$16,"")</f>
        <v/>
      </c>
      <c r="D106" s="140">
        <f>IFERROR(WORKING_CAPITAL!H$20,"")</f>
        <v/>
      </c>
      <c r="E106" s="140">
        <f>IFERROR(WORKING_CAPITAL!H$21,"")</f>
        <v/>
      </c>
      <c r="F106" s="140">
        <f>IFERROR(WORKING_CAPITAL!H$22,"")</f>
        <v/>
      </c>
      <c r="G106" s="140">
        <f>IFERROR(SUM(C106:F106),"")</f>
        <v/>
      </c>
      <c r="H106" s="241" t="n"/>
      <c r="I106" s="241" t="n"/>
      <c r="J106" s="241" t="n"/>
      <c r="K106" s="241" t="n"/>
      <c r="L106" s="241" t="n"/>
      <c r="M106" s="241" t="n"/>
      <c r="N106" s="241" t="n"/>
      <c r="O106" s="241" t="n"/>
      <c r="P106" s="241" t="n"/>
      <c r="Q106" s="241" t="n"/>
      <c r="R106" s="241" t="n"/>
      <c r="S106" s="241" t="n"/>
      <c r="T106" s="241" t="n"/>
      <c r="U106" s="241" t="n"/>
      <c r="V106" s="241" t="n"/>
      <c r="W106" s="241" t="n"/>
      <c r="X106" s="241" t="n"/>
      <c r="Y106" s="241" t="n"/>
      <c r="Z106" s="241" t="n"/>
      <c r="AA106" s="241" t="n"/>
      <c r="AB106" s="241" t="n"/>
      <c r="AC106" s="241" t="n"/>
      <c r="AD106" s="241" t="n"/>
      <c r="AE106" s="241" t="n"/>
      <c r="AF106" s="241" t="n"/>
      <c r="AG106" s="241" t="n"/>
      <c r="AH106" s="241" t="n"/>
      <c r="AI106" s="241" t="n"/>
      <c r="AJ106" s="241" t="n"/>
      <c r="AK106" s="241" t="n"/>
    </row>
    <row r="107" ht="32" customHeight="1" s="239">
      <c r="A107" s="140" t="n">
        <v>7</v>
      </c>
      <c r="B107" s="241" t="inlineStr">
        <is>
          <t>Maintenance CAPEX</t>
        </is>
      </c>
      <c r="C107" s="140">
        <f>IFERROR(CAPEX!J$11*0.03,"")</f>
        <v/>
      </c>
      <c r="D107" s="140">
        <f>IFERROR(CAPEX!J$11*0.07,"")</f>
        <v/>
      </c>
      <c r="E107" s="140">
        <f>IFERROR(CAPEX!J$11*0.02,"")</f>
        <v/>
      </c>
      <c r="F107" s="140">
        <f>IFERROR(CAPEX!J$11*0.03,"")</f>
        <v/>
      </c>
      <c r="G107" s="140">
        <f>IFERROR(SUM(C107:F107),"")</f>
        <v/>
      </c>
      <c r="H107" s="241" t="n"/>
      <c r="I107" s="241" t="n"/>
      <c r="J107" s="241" t="n"/>
      <c r="K107" s="241" t="n"/>
      <c r="L107" s="241" t="n"/>
      <c r="M107" s="241" t="n"/>
      <c r="N107" s="241" t="n"/>
      <c r="O107" s="241" t="n"/>
      <c r="P107" s="241" t="n"/>
      <c r="Q107" s="241" t="n"/>
      <c r="R107" s="241" t="n"/>
      <c r="S107" s="241" t="n"/>
      <c r="T107" s="241" t="n"/>
      <c r="U107" s="241" t="n"/>
      <c r="V107" s="241" t="n"/>
      <c r="W107" s="241" t="n"/>
      <c r="X107" s="241" t="n"/>
      <c r="Y107" s="241" t="n"/>
      <c r="Z107" s="241" t="n"/>
      <c r="AA107" s="241" t="n"/>
      <c r="AB107" s="241" t="n"/>
      <c r="AC107" s="241" t="n"/>
      <c r="AD107" s="241" t="n"/>
      <c r="AE107" s="241" t="n"/>
      <c r="AF107" s="241" t="n"/>
      <c r="AG107" s="241" t="n"/>
      <c r="AH107" s="241" t="n"/>
      <c r="AI107" s="241" t="n"/>
      <c r="AJ107" s="241" t="n"/>
      <c r="AK107" s="241" t="n"/>
    </row>
    <row r="108" ht="32" customHeight="1" s="239">
      <c r="A108" s="140" t="n">
        <v>7</v>
      </c>
      <c r="B108" s="241" t="inlineStr">
        <is>
          <t>Expansion CAPEX</t>
        </is>
      </c>
      <c r="C108" s="140">
        <f>IFERROR(CAPEX!J$11*0.15,"")</f>
        <v/>
      </c>
      <c r="D108" s="140">
        <f>IFERROR(CAPEX!J$11*0.7,"")</f>
        <v/>
      </c>
      <c r="E108" s="140">
        <f>IFERROR(CAPEX!J$11*0.05,"")</f>
        <v/>
      </c>
      <c r="F108" s="140">
        <f>IFERROR(CAPEX!J$11*0.1,"")</f>
        <v/>
      </c>
      <c r="G108" s="140">
        <f>IFERROR(SUM(C108:F108),"")</f>
        <v/>
      </c>
      <c r="H108" s="241" t="n"/>
      <c r="I108" s="241" t="n"/>
      <c r="J108" s="241" t="n"/>
      <c r="K108" s="241" t="n"/>
      <c r="L108" s="241" t="n"/>
      <c r="M108" s="241" t="n"/>
      <c r="N108" s="241" t="n"/>
      <c r="O108" s="241" t="n"/>
      <c r="P108" s="241" t="n"/>
      <c r="Q108" s="241" t="n"/>
      <c r="R108" s="241" t="n"/>
      <c r="S108" s="241" t="n"/>
      <c r="T108" s="241" t="n"/>
      <c r="U108" s="241" t="n"/>
      <c r="V108" s="241" t="n"/>
      <c r="W108" s="241" t="n"/>
      <c r="X108" s="241" t="n"/>
      <c r="Y108" s="241" t="n"/>
      <c r="Z108" s="241" t="n"/>
      <c r="AA108" s="241" t="n"/>
      <c r="AB108" s="241" t="n"/>
      <c r="AC108" s="241" t="n"/>
      <c r="AD108" s="241" t="n"/>
      <c r="AE108" s="241" t="n"/>
      <c r="AF108" s="241" t="n"/>
      <c r="AG108" s="241" t="n"/>
      <c r="AH108" s="241" t="n"/>
      <c r="AI108" s="241" t="n"/>
      <c r="AJ108" s="241" t="n"/>
      <c r="AK108" s="241" t="n"/>
    </row>
    <row r="109" ht="32" customHeight="1" s="239">
      <c r="A109" s="158" t="n">
        <v>7</v>
      </c>
      <c r="B109" s="157" t="inlineStr">
        <is>
          <t>Operating Cash Flow</t>
        </is>
      </c>
      <c r="C109" s="158">
        <f>IFERROR(C105-C106,"")</f>
        <v/>
      </c>
      <c r="D109" s="158">
        <f>IFERROR(D105-D106,"")</f>
        <v/>
      </c>
      <c r="E109" s="158">
        <f>IFERROR(E105-E106,"")</f>
        <v/>
      </c>
      <c r="F109" s="158">
        <f>IFERROR(F105-F106,"")</f>
        <v/>
      </c>
      <c r="G109" s="158">
        <f>IFERROR(SUM(C109:F109),"")</f>
        <v/>
      </c>
      <c r="H109" s="157" t="n"/>
      <c r="I109" s="241" t="n"/>
      <c r="J109" s="241" t="n"/>
      <c r="K109" s="241" t="n"/>
      <c r="L109" s="241" t="n"/>
      <c r="M109" s="241" t="n"/>
      <c r="N109" s="241" t="n"/>
      <c r="O109" s="241" t="n"/>
      <c r="P109" s="241" t="n"/>
      <c r="Q109" s="241" t="n"/>
      <c r="R109" s="241" t="n"/>
      <c r="S109" s="241" t="n"/>
      <c r="T109" s="241" t="n"/>
      <c r="U109" s="241" t="n"/>
      <c r="V109" s="241" t="n"/>
      <c r="W109" s="241" t="n"/>
      <c r="X109" s="241" t="n"/>
      <c r="Y109" s="241" t="n"/>
      <c r="Z109" s="241" t="n"/>
      <c r="AA109" s="241" t="n"/>
      <c r="AB109" s="241" t="n"/>
      <c r="AC109" s="241" t="n"/>
      <c r="AD109" s="241" t="n"/>
      <c r="AE109" s="241" t="n"/>
      <c r="AF109" s="241" t="n"/>
      <c r="AG109" s="241" t="n"/>
      <c r="AH109" s="241" t="n"/>
      <c r="AI109" s="241" t="n"/>
      <c r="AJ109" s="241" t="n"/>
      <c r="AK109" s="241" t="n"/>
    </row>
    <row r="110" ht="32" customHeight="1" s="239">
      <c r="A110" s="158" t="n">
        <v>7</v>
      </c>
      <c r="B110" s="157" t="inlineStr">
        <is>
          <t>Free Cash Flow</t>
        </is>
      </c>
      <c r="C110" s="158">
        <f>IFERROR(C109-C107-C108,"")</f>
        <v/>
      </c>
      <c r="D110" s="158">
        <f>IFERROR(D109-D107-D108,"")</f>
        <v/>
      </c>
      <c r="E110" s="158">
        <f>IFERROR(E109-E107-E108,"")</f>
        <v/>
      </c>
      <c r="F110" s="158">
        <f>IFERROR(F109-F107-F108,"")</f>
        <v/>
      </c>
      <c r="G110" s="158">
        <f>IFERROR(SUM(C110:F110),"")</f>
        <v/>
      </c>
      <c r="H110" s="157" t="n"/>
      <c r="I110" s="241" t="n"/>
      <c r="J110" s="241" t="n"/>
      <c r="K110" s="241" t="n"/>
      <c r="L110" s="241" t="n"/>
      <c r="M110" s="241" t="n"/>
      <c r="N110" s="241" t="n"/>
      <c r="O110" s="241" t="n"/>
      <c r="P110" s="241" t="n"/>
      <c r="Q110" s="241" t="n"/>
      <c r="R110" s="241" t="n"/>
      <c r="S110" s="241" t="n"/>
      <c r="T110" s="241" t="n"/>
      <c r="U110" s="241" t="n"/>
      <c r="V110" s="241" t="n"/>
      <c r="W110" s="241" t="n"/>
      <c r="X110" s="241" t="n"/>
      <c r="Y110" s="241" t="n"/>
      <c r="Z110" s="241" t="n"/>
      <c r="AA110" s="241" t="n"/>
      <c r="AB110" s="241" t="n"/>
      <c r="AC110" s="241" t="n"/>
      <c r="AD110" s="241" t="n"/>
      <c r="AE110" s="241" t="n"/>
      <c r="AF110" s="241" t="n"/>
      <c r="AG110" s="241" t="n"/>
      <c r="AH110" s="241" t="n"/>
      <c r="AI110" s="241" t="n"/>
      <c r="AJ110" s="241" t="n"/>
      <c r="AK110" s="241" t="n"/>
    </row>
    <row r="111" ht="16" customHeight="1" s="239">
      <c r="A111" s="158" t="n">
        <v>7</v>
      </c>
      <c r="B111" s="157" t="inlineStr">
        <is>
          <t>CFADS</t>
        </is>
      </c>
      <c r="C111" s="158">
        <f>IFERROR(FEED_FARM!H23,"")</f>
        <v/>
      </c>
      <c r="D111" s="158">
        <f>IFERROR(DAIRY!H16,"")</f>
        <v/>
      </c>
      <c r="E111" s="158">
        <f>IFERROR(FATTENING!H21,"")</f>
        <v/>
      </c>
      <c r="F111" s="158">
        <f>IFERROR(LOGISTICS!H12,"")</f>
        <v/>
      </c>
      <c r="G111" s="158">
        <f>IFERROR(SUM(C111:F111),"")</f>
        <v/>
      </c>
      <c r="H111" s="157" t="n"/>
      <c r="I111" s="241" t="n"/>
      <c r="J111" s="241" t="n"/>
      <c r="K111" s="241" t="n"/>
      <c r="L111" s="241" t="n"/>
      <c r="M111" s="241" t="n"/>
      <c r="N111" s="241" t="n"/>
      <c r="O111" s="241" t="n"/>
      <c r="P111" s="241" t="n"/>
      <c r="Q111" s="241" t="n"/>
      <c r="R111" s="241" t="n"/>
      <c r="S111" s="241" t="n"/>
      <c r="T111" s="241" t="n"/>
      <c r="U111" s="241" t="n"/>
      <c r="V111" s="241" t="n"/>
      <c r="W111" s="241" t="n"/>
      <c r="X111" s="241" t="n"/>
      <c r="Y111" s="241" t="n"/>
      <c r="Z111" s="241" t="n"/>
      <c r="AA111" s="241" t="n"/>
      <c r="AB111" s="241" t="n"/>
      <c r="AC111" s="241" t="n"/>
      <c r="AD111" s="241" t="n"/>
      <c r="AE111" s="241" t="n"/>
      <c r="AF111" s="241" t="n"/>
      <c r="AG111" s="241" t="n"/>
      <c r="AH111" s="241" t="n"/>
      <c r="AI111" s="241" t="n"/>
      <c r="AJ111" s="241" t="n"/>
      <c r="AK111" s="241" t="n"/>
    </row>
    <row r="112" ht="32" customHeight="1" s="239">
      <c r="A112" s="140" t="n">
        <v>7</v>
      </c>
      <c r="B112" s="241" t="inlineStr">
        <is>
          <t>Debt Service Capacity</t>
        </is>
      </c>
      <c r="C112" s="140">
        <f>IFERROR(C111/ASSUMPTIONS!$B$16,0)</f>
        <v/>
      </c>
      <c r="D112" s="140">
        <f>IFERROR(D111/ASSUMPTIONS!$B$16,0)</f>
        <v/>
      </c>
      <c r="E112" s="140">
        <f>IFERROR(E111/ASSUMPTIONS!$B$16,0)</f>
        <v/>
      </c>
      <c r="F112" s="140">
        <f>IFERROR(F111/ASSUMPTIONS!$B$16,0)</f>
        <v/>
      </c>
      <c r="G112" s="140">
        <f>IFERROR(SUM(C112:F112),"")</f>
        <v/>
      </c>
      <c r="H112" s="241" t="n"/>
      <c r="I112" s="241" t="n"/>
      <c r="J112" s="241" t="n"/>
      <c r="K112" s="241" t="n"/>
      <c r="L112" s="241" t="n"/>
      <c r="M112" s="241" t="n"/>
      <c r="N112" s="241" t="n"/>
      <c r="O112" s="241" t="n"/>
      <c r="P112" s="241" t="n"/>
      <c r="Q112" s="241" t="n"/>
      <c r="R112" s="241" t="n"/>
      <c r="S112" s="241" t="n"/>
      <c r="T112" s="241" t="n"/>
      <c r="U112" s="241" t="n"/>
      <c r="V112" s="241" t="n"/>
      <c r="W112" s="241" t="n"/>
      <c r="X112" s="241" t="n"/>
      <c r="Y112" s="241" t="n"/>
      <c r="Z112" s="241" t="n"/>
      <c r="AA112" s="241" t="n"/>
      <c r="AB112" s="241" t="n"/>
      <c r="AC112" s="241" t="n"/>
      <c r="AD112" s="241" t="n"/>
      <c r="AE112" s="241" t="n"/>
      <c r="AF112" s="241" t="n"/>
      <c r="AG112" s="241" t="n"/>
      <c r="AH112" s="241" t="n"/>
      <c r="AI112" s="241" t="n"/>
      <c r="AJ112" s="241" t="n"/>
      <c r="AK112" s="241" t="n"/>
    </row>
    <row r="113" ht="16" customHeight="1" s="239">
      <c r="A113" s="158" t="n">
        <v>7</v>
      </c>
      <c r="B113" s="157" t="inlineStr">
        <is>
          <t>Ending Cash</t>
        </is>
      </c>
      <c r="C113" s="158">
        <f>IFERROR(SUM(C105:C112),"")</f>
        <v/>
      </c>
      <c r="D113" s="158">
        <f>IFERROR(SUM(D105:D112),"")</f>
        <v/>
      </c>
      <c r="E113" s="158">
        <f>IFERROR(SUM(E105:E112),"")</f>
        <v/>
      </c>
      <c r="F113" s="158">
        <f>IFERROR(SUM(F105:F112),"")</f>
        <v/>
      </c>
      <c r="G113" s="158">
        <f>IFERROR(SUM(C113:F113),"")</f>
        <v/>
      </c>
      <c r="H113" s="157" t="n"/>
      <c r="I113" s="241" t="n"/>
      <c r="J113" s="241" t="n"/>
      <c r="K113" s="241" t="n"/>
      <c r="L113" s="241" t="n"/>
      <c r="M113" s="241" t="n"/>
      <c r="N113" s="241" t="n"/>
      <c r="O113" s="241" t="n"/>
      <c r="P113" s="241" t="n"/>
      <c r="Q113" s="241" t="n"/>
      <c r="R113" s="241" t="n"/>
      <c r="S113" s="241" t="n"/>
      <c r="T113" s="241" t="n"/>
      <c r="U113" s="241" t="n"/>
      <c r="V113" s="241" t="n"/>
      <c r="W113" s="241" t="n"/>
      <c r="X113" s="241" t="n"/>
      <c r="Y113" s="241" t="n"/>
      <c r="Z113" s="241" t="n"/>
      <c r="AA113" s="241" t="n"/>
      <c r="AB113" s="241" t="n"/>
      <c r="AC113" s="241" t="n"/>
      <c r="AD113" s="241" t="n"/>
      <c r="AE113" s="241" t="n"/>
      <c r="AF113" s="241" t="n"/>
      <c r="AG113" s="241" t="n"/>
      <c r="AH113" s="241" t="n"/>
      <c r="AI113" s="241" t="n"/>
      <c r="AJ113" s="241" t="n"/>
      <c r="AK113" s="241" t="n"/>
    </row>
    <row r="114" ht="16" customHeight="1" s="239">
      <c r="A114" s="140" t="n">
        <v>8</v>
      </c>
      <c r="B114" s="241" t="inlineStr">
        <is>
          <t>EBITDA</t>
        </is>
      </c>
      <c r="C114" s="140">
        <f>IFERROR(FEED_FARM!I22,"")</f>
        <v/>
      </c>
      <c r="D114" s="140">
        <f>IFERROR(DAIRY!I15,"")</f>
        <v/>
      </c>
      <c r="E114" s="140">
        <f>IFERROR(FATTENING!I20,"")</f>
        <v/>
      </c>
      <c r="F114" s="140">
        <f>IFERROR(LOGISTICS!I11,"")</f>
        <v/>
      </c>
      <c r="G114" s="140">
        <f>IFERROR(SUM(C114:F114),"")</f>
        <v/>
      </c>
      <c r="H114" s="241" t="n"/>
      <c r="I114" s="241" t="n"/>
      <c r="J114" s="241" t="n"/>
      <c r="K114" s="241" t="n"/>
      <c r="L114" s="241" t="n"/>
      <c r="M114" s="241" t="n"/>
      <c r="N114" s="241" t="n"/>
      <c r="O114" s="241" t="n"/>
      <c r="P114" s="241" t="n"/>
      <c r="Q114" s="241" t="n"/>
      <c r="R114" s="241" t="n"/>
      <c r="S114" s="241" t="n"/>
      <c r="T114" s="241" t="n"/>
      <c r="U114" s="241" t="n"/>
      <c r="V114" s="241" t="n"/>
      <c r="W114" s="241" t="n"/>
      <c r="X114" s="241" t="n"/>
      <c r="Y114" s="241" t="n"/>
      <c r="Z114" s="241" t="n"/>
      <c r="AA114" s="241" t="n"/>
      <c r="AB114" s="241" t="n"/>
      <c r="AC114" s="241" t="n"/>
      <c r="AD114" s="241" t="n"/>
      <c r="AE114" s="241" t="n"/>
      <c r="AF114" s="241" t="n"/>
      <c r="AG114" s="241" t="n"/>
      <c r="AH114" s="241" t="n"/>
      <c r="AI114" s="241" t="n"/>
      <c r="AJ114" s="241" t="n"/>
      <c r="AK114" s="241" t="n"/>
    </row>
    <row r="115" ht="32" customHeight="1" s="239">
      <c r="A115" s="140" t="n">
        <v>8</v>
      </c>
      <c r="B115" s="241" t="inlineStr">
        <is>
          <t>Working Capital</t>
        </is>
      </c>
      <c r="C115" s="140">
        <f>IFERROR(WORKING_CAPITAL!I$16,"")</f>
        <v/>
      </c>
      <c r="D115" s="140">
        <f>IFERROR(WORKING_CAPITAL!I$20,"")</f>
        <v/>
      </c>
      <c r="E115" s="140">
        <f>IFERROR(WORKING_CAPITAL!I$21,"")</f>
        <v/>
      </c>
      <c r="F115" s="140">
        <f>IFERROR(WORKING_CAPITAL!I$22,"")</f>
        <v/>
      </c>
      <c r="G115" s="140">
        <f>IFERROR(SUM(C115:F115),"")</f>
        <v/>
      </c>
      <c r="H115" s="241" t="n"/>
      <c r="I115" s="241" t="n"/>
      <c r="J115" s="241" t="n"/>
      <c r="K115" s="241" t="n"/>
      <c r="L115" s="241" t="n"/>
      <c r="M115" s="241" t="n"/>
      <c r="N115" s="241" t="n"/>
      <c r="O115" s="241" t="n"/>
      <c r="P115" s="241" t="n"/>
      <c r="Q115" s="241" t="n"/>
      <c r="R115" s="241" t="n"/>
      <c r="S115" s="241" t="n"/>
      <c r="T115" s="241" t="n"/>
      <c r="U115" s="241" t="n"/>
      <c r="V115" s="241" t="n"/>
      <c r="W115" s="241" t="n"/>
      <c r="X115" s="241" t="n"/>
      <c r="Y115" s="241" t="n"/>
      <c r="Z115" s="241" t="n"/>
      <c r="AA115" s="241" t="n"/>
      <c r="AB115" s="241" t="n"/>
      <c r="AC115" s="241" t="n"/>
      <c r="AD115" s="241" t="n"/>
      <c r="AE115" s="241" t="n"/>
      <c r="AF115" s="241" t="n"/>
      <c r="AG115" s="241" t="n"/>
      <c r="AH115" s="241" t="n"/>
      <c r="AI115" s="241" t="n"/>
      <c r="AJ115" s="241" t="n"/>
      <c r="AK115" s="241" t="n"/>
    </row>
    <row r="116" ht="32" customHeight="1" s="239">
      <c r="A116" s="140" t="n">
        <v>8</v>
      </c>
      <c r="B116" s="241" t="inlineStr">
        <is>
          <t>Maintenance CAPEX</t>
        </is>
      </c>
      <c r="C116" s="140">
        <f>IFERROR(CAPEX!K$11*0.03,"")</f>
        <v/>
      </c>
      <c r="D116" s="140">
        <f>IFERROR(CAPEX!K$11*0.07,"")</f>
        <v/>
      </c>
      <c r="E116" s="140">
        <f>IFERROR(CAPEX!K$11*0.02,"")</f>
        <v/>
      </c>
      <c r="F116" s="140">
        <f>IFERROR(CAPEX!K$11*0.03,"")</f>
        <v/>
      </c>
      <c r="G116" s="140">
        <f>IFERROR(SUM(C116:F116),"")</f>
        <v/>
      </c>
      <c r="H116" s="241" t="n"/>
      <c r="I116" s="241" t="n"/>
      <c r="J116" s="241" t="n"/>
      <c r="K116" s="241" t="n"/>
      <c r="L116" s="241" t="n"/>
      <c r="M116" s="241" t="n"/>
      <c r="N116" s="241" t="n"/>
      <c r="O116" s="241" t="n"/>
      <c r="P116" s="241" t="n"/>
      <c r="Q116" s="241" t="n"/>
      <c r="R116" s="241" t="n"/>
      <c r="S116" s="241" t="n"/>
      <c r="T116" s="241" t="n"/>
      <c r="U116" s="241" t="n"/>
      <c r="V116" s="241" t="n"/>
      <c r="W116" s="241" t="n"/>
      <c r="X116" s="241" t="n"/>
      <c r="Y116" s="241" t="n"/>
      <c r="Z116" s="241" t="n"/>
      <c r="AA116" s="241" t="n"/>
      <c r="AB116" s="241" t="n"/>
      <c r="AC116" s="241" t="n"/>
      <c r="AD116" s="241" t="n"/>
      <c r="AE116" s="241" t="n"/>
      <c r="AF116" s="241" t="n"/>
      <c r="AG116" s="241" t="n"/>
      <c r="AH116" s="241" t="n"/>
      <c r="AI116" s="241" t="n"/>
      <c r="AJ116" s="241" t="n"/>
      <c r="AK116" s="241" t="n"/>
    </row>
    <row r="117" ht="32" customHeight="1" s="239">
      <c r="A117" s="140" t="n">
        <v>8</v>
      </c>
      <c r="B117" s="241" t="inlineStr">
        <is>
          <t>Expansion CAPEX</t>
        </is>
      </c>
      <c r="C117" s="140">
        <f>IFERROR(CAPEX!K$11*0.15,"")</f>
        <v/>
      </c>
      <c r="D117" s="140">
        <f>IFERROR(CAPEX!K$11*0.7,"")</f>
        <v/>
      </c>
      <c r="E117" s="140">
        <f>IFERROR(CAPEX!K$11*0.05,"")</f>
        <v/>
      </c>
      <c r="F117" s="140">
        <f>IFERROR(CAPEX!K$11*0.1,"")</f>
        <v/>
      </c>
      <c r="G117" s="140">
        <f>IFERROR(SUM(C117:F117),"")</f>
        <v/>
      </c>
      <c r="H117" s="241" t="n"/>
      <c r="I117" s="241" t="n"/>
      <c r="J117" s="241" t="n"/>
      <c r="K117" s="241" t="n"/>
      <c r="L117" s="241" t="n"/>
      <c r="M117" s="241" t="n"/>
      <c r="N117" s="241" t="n"/>
      <c r="O117" s="241" t="n"/>
      <c r="P117" s="241" t="n"/>
      <c r="Q117" s="241" t="n"/>
      <c r="R117" s="241" t="n"/>
      <c r="S117" s="241" t="n"/>
      <c r="T117" s="241" t="n"/>
      <c r="U117" s="241" t="n"/>
      <c r="V117" s="241" t="n"/>
      <c r="W117" s="241" t="n"/>
      <c r="X117" s="241" t="n"/>
      <c r="Y117" s="241" t="n"/>
      <c r="Z117" s="241" t="n"/>
      <c r="AA117" s="241" t="n"/>
      <c r="AB117" s="241" t="n"/>
      <c r="AC117" s="241" t="n"/>
      <c r="AD117" s="241" t="n"/>
      <c r="AE117" s="241" t="n"/>
      <c r="AF117" s="241" t="n"/>
      <c r="AG117" s="241" t="n"/>
      <c r="AH117" s="241" t="n"/>
      <c r="AI117" s="241" t="n"/>
      <c r="AJ117" s="241" t="n"/>
      <c r="AK117" s="241" t="n"/>
    </row>
    <row r="118" ht="32" customHeight="1" s="239">
      <c r="A118" s="158" t="n">
        <v>8</v>
      </c>
      <c r="B118" s="157" t="inlineStr">
        <is>
          <t>Operating Cash Flow</t>
        </is>
      </c>
      <c r="C118" s="158">
        <f>IFERROR(C114-C115,"")</f>
        <v/>
      </c>
      <c r="D118" s="158">
        <f>IFERROR(D114-D115,"")</f>
        <v/>
      </c>
      <c r="E118" s="158">
        <f>IFERROR(E114-E115,"")</f>
        <v/>
      </c>
      <c r="F118" s="158">
        <f>IFERROR(F114-F115,"")</f>
        <v/>
      </c>
      <c r="G118" s="158">
        <f>IFERROR(SUM(C118:F118),"")</f>
        <v/>
      </c>
      <c r="H118" s="157" t="n"/>
      <c r="I118" s="241" t="n"/>
      <c r="J118" s="241" t="n"/>
      <c r="K118" s="241" t="n"/>
      <c r="L118" s="241" t="n"/>
      <c r="M118" s="241" t="n"/>
      <c r="N118" s="241" t="n"/>
      <c r="O118" s="241" t="n"/>
      <c r="P118" s="241" t="n"/>
      <c r="Q118" s="241" t="n"/>
      <c r="R118" s="241" t="n"/>
      <c r="S118" s="241" t="n"/>
      <c r="T118" s="241" t="n"/>
      <c r="U118" s="241" t="n"/>
      <c r="V118" s="241" t="n"/>
      <c r="W118" s="241" t="n"/>
      <c r="X118" s="241" t="n"/>
      <c r="Y118" s="241" t="n"/>
      <c r="Z118" s="241" t="n"/>
      <c r="AA118" s="241" t="n"/>
      <c r="AB118" s="241" t="n"/>
      <c r="AC118" s="241" t="n"/>
      <c r="AD118" s="241" t="n"/>
      <c r="AE118" s="241" t="n"/>
      <c r="AF118" s="241" t="n"/>
      <c r="AG118" s="241" t="n"/>
      <c r="AH118" s="241" t="n"/>
      <c r="AI118" s="241" t="n"/>
      <c r="AJ118" s="241" t="n"/>
      <c r="AK118" s="241" t="n"/>
    </row>
    <row r="119" ht="32" customHeight="1" s="239">
      <c r="A119" s="158" t="n">
        <v>8</v>
      </c>
      <c r="B119" s="157" t="inlineStr">
        <is>
          <t>Free Cash Flow</t>
        </is>
      </c>
      <c r="C119" s="158">
        <f>IFERROR(C118-C116-C117,"")</f>
        <v/>
      </c>
      <c r="D119" s="158">
        <f>IFERROR(D118-D116-D117,"")</f>
        <v/>
      </c>
      <c r="E119" s="158">
        <f>IFERROR(E118-E116-E117,"")</f>
        <v/>
      </c>
      <c r="F119" s="158">
        <f>IFERROR(F118-F116-F117,"")</f>
        <v/>
      </c>
      <c r="G119" s="158">
        <f>IFERROR(SUM(C119:F119),"")</f>
        <v/>
      </c>
      <c r="H119" s="157" t="n"/>
      <c r="I119" s="241" t="n"/>
      <c r="J119" s="241" t="n"/>
      <c r="K119" s="241" t="n"/>
      <c r="L119" s="241" t="n"/>
      <c r="M119" s="241" t="n"/>
      <c r="N119" s="241" t="n"/>
      <c r="O119" s="241" t="n"/>
      <c r="P119" s="241" t="n"/>
      <c r="Q119" s="241" t="n"/>
      <c r="R119" s="241" t="n"/>
      <c r="S119" s="241" t="n"/>
      <c r="T119" s="241" t="n"/>
      <c r="U119" s="241" t="n"/>
      <c r="V119" s="241" t="n"/>
      <c r="W119" s="241" t="n"/>
      <c r="X119" s="241" t="n"/>
      <c r="Y119" s="241" t="n"/>
      <c r="Z119" s="241" t="n"/>
      <c r="AA119" s="241" t="n"/>
      <c r="AB119" s="241" t="n"/>
      <c r="AC119" s="241" t="n"/>
      <c r="AD119" s="241" t="n"/>
      <c r="AE119" s="241" t="n"/>
      <c r="AF119" s="241" t="n"/>
      <c r="AG119" s="241" t="n"/>
      <c r="AH119" s="241" t="n"/>
      <c r="AI119" s="241" t="n"/>
      <c r="AJ119" s="241" t="n"/>
      <c r="AK119" s="241" t="n"/>
    </row>
    <row r="120" ht="16" customHeight="1" s="239">
      <c r="A120" s="158" t="n">
        <v>8</v>
      </c>
      <c r="B120" s="157" t="inlineStr">
        <is>
          <t>CFADS</t>
        </is>
      </c>
      <c r="C120" s="158">
        <f>IFERROR(FEED_FARM!I23,"")</f>
        <v/>
      </c>
      <c r="D120" s="158">
        <f>IFERROR(DAIRY!I16,"")</f>
        <v/>
      </c>
      <c r="E120" s="158">
        <f>IFERROR(FATTENING!I21,"")</f>
        <v/>
      </c>
      <c r="F120" s="158">
        <f>IFERROR(LOGISTICS!I12,"")</f>
        <v/>
      </c>
      <c r="G120" s="158">
        <f>IFERROR(SUM(C120:F120),"")</f>
        <v/>
      </c>
      <c r="H120" s="157" t="n"/>
      <c r="I120" s="241" t="n"/>
      <c r="J120" s="241" t="n"/>
      <c r="K120" s="241" t="n"/>
      <c r="L120" s="241" t="n"/>
      <c r="M120" s="241" t="n"/>
      <c r="N120" s="241" t="n"/>
      <c r="O120" s="241" t="n"/>
      <c r="P120" s="241" t="n"/>
      <c r="Q120" s="241" t="n"/>
      <c r="R120" s="241" t="n"/>
      <c r="S120" s="241" t="n"/>
      <c r="T120" s="241" t="n"/>
      <c r="U120" s="241" t="n"/>
      <c r="V120" s="241" t="n"/>
      <c r="W120" s="241" t="n"/>
      <c r="X120" s="241" t="n"/>
      <c r="Y120" s="241" t="n"/>
      <c r="Z120" s="241" t="n"/>
      <c r="AA120" s="241" t="n"/>
      <c r="AB120" s="241" t="n"/>
      <c r="AC120" s="241" t="n"/>
      <c r="AD120" s="241" t="n"/>
      <c r="AE120" s="241" t="n"/>
      <c r="AF120" s="241" t="n"/>
      <c r="AG120" s="241" t="n"/>
      <c r="AH120" s="241" t="n"/>
      <c r="AI120" s="241" t="n"/>
      <c r="AJ120" s="241" t="n"/>
      <c r="AK120" s="241" t="n"/>
    </row>
    <row r="121" ht="32" customHeight="1" s="239">
      <c r="A121" s="140" t="n">
        <v>8</v>
      </c>
      <c r="B121" s="241" t="inlineStr">
        <is>
          <t>Debt Service Capacity</t>
        </is>
      </c>
      <c r="C121" s="140">
        <f>IFERROR(C120/ASSUMPTIONS!$B$16,0)</f>
        <v/>
      </c>
      <c r="D121" s="140">
        <f>IFERROR(D120/ASSUMPTIONS!$B$16,0)</f>
        <v/>
      </c>
      <c r="E121" s="140">
        <f>IFERROR(E120/ASSUMPTIONS!$B$16,0)</f>
        <v/>
      </c>
      <c r="F121" s="140">
        <f>IFERROR(F120/ASSUMPTIONS!$B$16,0)</f>
        <v/>
      </c>
      <c r="G121" s="140">
        <f>IFERROR(SUM(C121:F121),"")</f>
        <v/>
      </c>
      <c r="H121" s="241" t="n"/>
      <c r="I121" s="241" t="n"/>
      <c r="J121" s="241" t="n"/>
      <c r="K121" s="241" t="n"/>
      <c r="L121" s="241" t="n"/>
      <c r="M121" s="241" t="n"/>
      <c r="N121" s="241" t="n"/>
      <c r="O121" s="241" t="n"/>
      <c r="P121" s="241" t="n"/>
      <c r="Q121" s="241" t="n"/>
      <c r="R121" s="241" t="n"/>
      <c r="S121" s="241" t="n"/>
      <c r="T121" s="241" t="n"/>
      <c r="U121" s="241" t="n"/>
      <c r="V121" s="241" t="n"/>
      <c r="W121" s="241" t="n"/>
      <c r="X121" s="241" t="n"/>
      <c r="Y121" s="241" t="n"/>
      <c r="Z121" s="241" t="n"/>
      <c r="AA121" s="241" t="n"/>
      <c r="AB121" s="241" t="n"/>
      <c r="AC121" s="241" t="n"/>
      <c r="AD121" s="241" t="n"/>
      <c r="AE121" s="241" t="n"/>
      <c r="AF121" s="241" t="n"/>
      <c r="AG121" s="241" t="n"/>
      <c r="AH121" s="241" t="n"/>
      <c r="AI121" s="241" t="n"/>
      <c r="AJ121" s="241" t="n"/>
      <c r="AK121" s="241" t="n"/>
    </row>
    <row r="122" ht="16" customHeight="1" s="239">
      <c r="A122" s="158" t="n">
        <v>8</v>
      </c>
      <c r="B122" s="157" t="inlineStr">
        <is>
          <t>Ending Cash</t>
        </is>
      </c>
      <c r="C122" s="158">
        <f>IFERROR(SUM(C114:C121),"")</f>
        <v/>
      </c>
      <c r="D122" s="158">
        <f>IFERROR(SUM(D114:D121),"")</f>
        <v/>
      </c>
      <c r="E122" s="158">
        <f>IFERROR(SUM(E114:E121),"")</f>
        <v/>
      </c>
      <c r="F122" s="158">
        <f>IFERROR(SUM(F114:F121),"")</f>
        <v/>
      </c>
      <c r="G122" s="158">
        <f>IFERROR(SUM(C122:F122),"")</f>
        <v/>
      </c>
      <c r="H122" s="157" t="n"/>
      <c r="I122" s="241" t="n"/>
      <c r="J122" s="241" t="n"/>
      <c r="K122" s="241" t="n"/>
      <c r="L122" s="241" t="n"/>
      <c r="M122" s="241" t="n"/>
      <c r="N122" s="241" t="n"/>
      <c r="O122" s="241" t="n"/>
      <c r="P122" s="241" t="n"/>
      <c r="Q122" s="241" t="n"/>
      <c r="R122" s="241" t="n"/>
      <c r="S122" s="241" t="n"/>
      <c r="T122" s="241" t="n"/>
      <c r="U122" s="241" t="n"/>
      <c r="V122" s="241" t="n"/>
      <c r="W122" s="241" t="n"/>
      <c r="X122" s="241" t="n"/>
      <c r="Y122" s="241" t="n"/>
      <c r="Z122" s="241" t="n"/>
      <c r="AA122" s="241" t="n"/>
      <c r="AB122" s="241" t="n"/>
      <c r="AC122" s="241" t="n"/>
      <c r="AD122" s="241" t="n"/>
      <c r="AE122" s="241" t="n"/>
      <c r="AF122" s="241" t="n"/>
      <c r="AG122" s="241" t="n"/>
      <c r="AH122" s="241" t="n"/>
      <c r="AI122" s="241" t="n"/>
      <c r="AJ122" s="241" t="n"/>
      <c r="AK122" s="241" t="n"/>
    </row>
    <row r="123" ht="16" customHeight="1" s="239">
      <c r="A123" s="140" t="n">
        <v>9</v>
      </c>
      <c r="B123" s="241" t="inlineStr">
        <is>
          <t>EBITDA</t>
        </is>
      </c>
      <c r="C123" s="140">
        <f>IFERROR(FEED_FARM!J22,"")</f>
        <v/>
      </c>
      <c r="D123" s="140">
        <f>IFERROR(DAIRY!J15,"")</f>
        <v/>
      </c>
      <c r="E123" s="140">
        <f>IFERROR(FATTENING!J20,"")</f>
        <v/>
      </c>
      <c r="F123" s="140">
        <f>IFERROR(LOGISTICS!J11,"")</f>
        <v/>
      </c>
      <c r="G123" s="140">
        <f>IFERROR(SUM(C123:F123),"")</f>
        <v/>
      </c>
      <c r="H123" s="241" t="n"/>
      <c r="I123" s="241" t="n"/>
      <c r="J123" s="241" t="n"/>
      <c r="K123" s="241" t="n"/>
      <c r="L123" s="241" t="n"/>
      <c r="M123" s="241" t="n"/>
      <c r="N123" s="241" t="n"/>
      <c r="O123" s="241" t="n"/>
      <c r="P123" s="241" t="n"/>
      <c r="Q123" s="241" t="n"/>
      <c r="R123" s="241" t="n"/>
      <c r="S123" s="241" t="n"/>
      <c r="T123" s="241" t="n"/>
      <c r="U123" s="241" t="n"/>
      <c r="V123" s="241" t="n"/>
      <c r="W123" s="241" t="n"/>
      <c r="X123" s="241" t="n"/>
      <c r="Y123" s="241" t="n"/>
      <c r="Z123" s="241" t="n"/>
      <c r="AA123" s="241" t="n"/>
      <c r="AB123" s="241" t="n"/>
      <c r="AC123" s="241" t="n"/>
      <c r="AD123" s="241" t="n"/>
      <c r="AE123" s="241" t="n"/>
      <c r="AF123" s="241" t="n"/>
      <c r="AG123" s="241" t="n"/>
      <c r="AH123" s="241" t="n"/>
      <c r="AI123" s="241" t="n"/>
      <c r="AJ123" s="241" t="n"/>
      <c r="AK123" s="241" t="n"/>
    </row>
    <row r="124" ht="32" customHeight="1" s="239">
      <c r="A124" s="140" t="n">
        <v>9</v>
      </c>
      <c r="B124" s="241" t="inlineStr">
        <is>
          <t>Working Capital</t>
        </is>
      </c>
      <c r="C124" s="140">
        <f>IFERROR(WORKING_CAPITAL!J$16,"")</f>
        <v/>
      </c>
      <c r="D124" s="140">
        <f>IFERROR(WORKING_CAPITAL!J$20,"")</f>
        <v/>
      </c>
      <c r="E124" s="140">
        <f>IFERROR(WORKING_CAPITAL!J$21,"")</f>
        <v/>
      </c>
      <c r="F124" s="140">
        <f>IFERROR(WORKING_CAPITAL!J$22,"")</f>
        <v/>
      </c>
      <c r="G124" s="140">
        <f>IFERROR(SUM(C124:F124),"")</f>
        <v/>
      </c>
      <c r="H124" s="241" t="n"/>
      <c r="I124" s="241" t="n"/>
      <c r="J124" s="241" t="n"/>
      <c r="K124" s="241" t="n"/>
      <c r="L124" s="241" t="n"/>
      <c r="M124" s="241" t="n"/>
      <c r="N124" s="241" t="n"/>
      <c r="O124" s="241" t="n"/>
      <c r="P124" s="241" t="n"/>
      <c r="Q124" s="241" t="n"/>
      <c r="R124" s="241" t="n"/>
      <c r="S124" s="241" t="n"/>
      <c r="T124" s="241" t="n"/>
      <c r="U124" s="241" t="n"/>
      <c r="V124" s="241" t="n"/>
      <c r="W124" s="241" t="n"/>
      <c r="X124" s="241" t="n"/>
      <c r="Y124" s="241" t="n"/>
      <c r="Z124" s="241" t="n"/>
      <c r="AA124" s="241" t="n"/>
      <c r="AB124" s="241" t="n"/>
      <c r="AC124" s="241" t="n"/>
      <c r="AD124" s="241" t="n"/>
      <c r="AE124" s="241" t="n"/>
      <c r="AF124" s="241" t="n"/>
      <c r="AG124" s="241" t="n"/>
      <c r="AH124" s="241" t="n"/>
      <c r="AI124" s="241" t="n"/>
      <c r="AJ124" s="241" t="n"/>
      <c r="AK124" s="241" t="n"/>
    </row>
    <row r="125" ht="32" customHeight="1" s="239">
      <c r="A125" s="140" t="n">
        <v>9</v>
      </c>
      <c r="B125" s="241" t="inlineStr">
        <is>
          <t>Maintenance CAPEX</t>
        </is>
      </c>
      <c r="C125" s="140">
        <f>IFERROR(CAPEX!L$11*0.03,"")</f>
        <v/>
      </c>
      <c r="D125" s="140">
        <f>IFERROR(CAPEX!L$11*0.07,"")</f>
        <v/>
      </c>
      <c r="E125" s="140">
        <f>IFERROR(CAPEX!L$11*0.02,"")</f>
        <v/>
      </c>
      <c r="F125" s="140">
        <f>IFERROR(CAPEX!L$11*0.03,"")</f>
        <v/>
      </c>
      <c r="G125" s="140">
        <f>IFERROR(SUM(C125:F125),"")</f>
        <v/>
      </c>
      <c r="H125" s="241" t="n"/>
      <c r="I125" s="241" t="n"/>
      <c r="J125" s="241" t="n"/>
      <c r="K125" s="241" t="n"/>
      <c r="L125" s="241" t="n"/>
      <c r="M125" s="241" t="n"/>
      <c r="N125" s="241" t="n"/>
      <c r="O125" s="241" t="n"/>
      <c r="P125" s="241" t="n"/>
      <c r="Q125" s="241" t="n"/>
      <c r="R125" s="241" t="n"/>
      <c r="S125" s="241" t="n"/>
      <c r="T125" s="241" t="n"/>
      <c r="U125" s="241" t="n"/>
      <c r="V125" s="241" t="n"/>
      <c r="W125" s="241" t="n"/>
      <c r="X125" s="241" t="n"/>
      <c r="Y125" s="241" t="n"/>
      <c r="Z125" s="241" t="n"/>
      <c r="AA125" s="241" t="n"/>
      <c r="AB125" s="241" t="n"/>
      <c r="AC125" s="241" t="n"/>
      <c r="AD125" s="241" t="n"/>
      <c r="AE125" s="241" t="n"/>
      <c r="AF125" s="241" t="n"/>
      <c r="AG125" s="241" t="n"/>
      <c r="AH125" s="241" t="n"/>
      <c r="AI125" s="241" t="n"/>
      <c r="AJ125" s="241" t="n"/>
      <c r="AK125" s="241" t="n"/>
    </row>
    <row r="126" ht="32" customHeight="1" s="239">
      <c r="A126" s="140" t="n">
        <v>9</v>
      </c>
      <c r="B126" s="241" t="inlineStr">
        <is>
          <t>Expansion CAPEX</t>
        </is>
      </c>
      <c r="C126" s="140">
        <f>IFERROR(CAPEX!L$11*0.15,"")</f>
        <v/>
      </c>
      <c r="D126" s="140">
        <f>IFERROR(CAPEX!L$11*0.7,"")</f>
        <v/>
      </c>
      <c r="E126" s="140">
        <f>IFERROR(CAPEX!L$11*0.05,"")</f>
        <v/>
      </c>
      <c r="F126" s="140">
        <f>IFERROR(CAPEX!L$11*0.1,"")</f>
        <v/>
      </c>
      <c r="G126" s="140">
        <f>IFERROR(SUM(C126:F126),"")</f>
        <v/>
      </c>
      <c r="H126" s="241" t="n"/>
      <c r="I126" s="241" t="n"/>
      <c r="J126" s="241" t="n"/>
      <c r="K126" s="241" t="n"/>
      <c r="L126" s="241" t="n"/>
      <c r="M126" s="241" t="n"/>
      <c r="N126" s="241" t="n"/>
      <c r="O126" s="241" t="n"/>
      <c r="P126" s="241" t="n"/>
      <c r="Q126" s="241" t="n"/>
      <c r="R126" s="241" t="n"/>
      <c r="S126" s="241" t="n"/>
      <c r="T126" s="241" t="n"/>
      <c r="U126" s="241" t="n"/>
      <c r="V126" s="241" t="n"/>
      <c r="W126" s="241" t="n"/>
      <c r="X126" s="241" t="n"/>
      <c r="Y126" s="241" t="n"/>
      <c r="Z126" s="241" t="n"/>
      <c r="AA126" s="241" t="n"/>
      <c r="AB126" s="241" t="n"/>
      <c r="AC126" s="241" t="n"/>
      <c r="AD126" s="241" t="n"/>
      <c r="AE126" s="241" t="n"/>
      <c r="AF126" s="241" t="n"/>
      <c r="AG126" s="241" t="n"/>
      <c r="AH126" s="241" t="n"/>
      <c r="AI126" s="241" t="n"/>
      <c r="AJ126" s="241" t="n"/>
      <c r="AK126" s="241" t="n"/>
    </row>
    <row r="127" ht="32" customHeight="1" s="239">
      <c r="A127" s="158" t="n">
        <v>9</v>
      </c>
      <c r="B127" s="157" t="inlineStr">
        <is>
          <t>Operating Cash Flow</t>
        </is>
      </c>
      <c r="C127" s="158">
        <f>IFERROR(C123-C124,"")</f>
        <v/>
      </c>
      <c r="D127" s="158">
        <f>IFERROR(D123-D124,"")</f>
        <v/>
      </c>
      <c r="E127" s="158">
        <f>IFERROR(E123-E124,"")</f>
        <v/>
      </c>
      <c r="F127" s="158">
        <f>IFERROR(F123-F124,"")</f>
        <v/>
      </c>
      <c r="G127" s="158">
        <f>IFERROR(SUM(C127:F127),"")</f>
        <v/>
      </c>
      <c r="H127" s="157" t="n"/>
      <c r="I127" s="241" t="n"/>
      <c r="J127" s="241" t="n"/>
      <c r="K127" s="241" t="n"/>
      <c r="L127" s="241" t="n"/>
      <c r="M127" s="241" t="n"/>
      <c r="N127" s="241" t="n"/>
      <c r="O127" s="241" t="n"/>
      <c r="P127" s="241" t="n"/>
      <c r="Q127" s="241" t="n"/>
      <c r="R127" s="241" t="n"/>
      <c r="S127" s="241" t="n"/>
      <c r="T127" s="241" t="n"/>
      <c r="U127" s="241" t="n"/>
      <c r="V127" s="241" t="n"/>
      <c r="W127" s="241" t="n"/>
      <c r="X127" s="241" t="n"/>
      <c r="Y127" s="241" t="n"/>
      <c r="Z127" s="241" t="n"/>
      <c r="AA127" s="241" t="n"/>
      <c r="AB127" s="241" t="n"/>
      <c r="AC127" s="241" t="n"/>
      <c r="AD127" s="241" t="n"/>
      <c r="AE127" s="241" t="n"/>
      <c r="AF127" s="241" t="n"/>
      <c r="AG127" s="241" t="n"/>
      <c r="AH127" s="241" t="n"/>
      <c r="AI127" s="241" t="n"/>
      <c r="AJ127" s="241" t="n"/>
      <c r="AK127" s="241" t="n"/>
    </row>
    <row r="128" ht="32" customHeight="1" s="239">
      <c r="A128" s="158" t="n">
        <v>9</v>
      </c>
      <c r="B128" s="157" t="inlineStr">
        <is>
          <t>Free Cash Flow</t>
        </is>
      </c>
      <c r="C128" s="158">
        <f>IFERROR(C127-C125-C126,"")</f>
        <v/>
      </c>
      <c r="D128" s="158">
        <f>IFERROR(D127-D125-D126,"")</f>
        <v/>
      </c>
      <c r="E128" s="158">
        <f>IFERROR(E127-E125-E126,"")</f>
        <v/>
      </c>
      <c r="F128" s="158">
        <f>IFERROR(F127-F125-F126,"")</f>
        <v/>
      </c>
      <c r="G128" s="158">
        <f>IFERROR(SUM(C128:F128),"")</f>
        <v/>
      </c>
      <c r="H128" s="157" t="n"/>
      <c r="I128" s="241" t="n"/>
      <c r="J128" s="241" t="n"/>
      <c r="K128" s="241" t="n"/>
      <c r="L128" s="241" t="n"/>
      <c r="M128" s="241" t="n"/>
      <c r="N128" s="241" t="n"/>
      <c r="O128" s="241" t="n"/>
      <c r="P128" s="241" t="n"/>
      <c r="Q128" s="241" t="n"/>
      <c r="R128" s="241" t="n"/>
      <c r="S128" s="241" t="n"/>
      <c r="T128" s="241" t="n"/>
      <c r="U128" s="241" t="n"/>
      <c r="V128" s="241" t="n"/>
      <c r="W128" s="241" t="n"/>
      <c r="X128" s="241" t="n"/>
      <c r="Y128" s="241" t="n"/>
      <c r="Z128" s="241" t="n"/>
      <c r="AA128" s="241" t="n"/>
      <c r="AB128" s="241" t="n"/>
      <c r="AC128" s="241" t="n"/>
      <c r="AD128" s="241" t="n"/>
      <c r="AE128" s="241" t="n"/>
      <c r="AF128" s="241" t="n"/>
      <c r="AG128" s="241" t="n"/>
      <c r="AH128" s="241" t="n"/>
      <c r="AI128" s="241" t="n"/>
      <c r="AJ128" s="241" t="n"/>
      <c r="AK128" s="241" t="n"/>
    </row>
    <row r="129" ht="16" customHeight="1" s="239">
      <c r="A129" s="158" t="n">
        <v>9</v>
      </c>
      <c r="B129" s="157" t="inlineStr">
        <is>
          <t>CFADS</t>
        </is>
      </c>
      <c r="C129" s="158">
        <f>IFERROR(FEED_FARM!J23,"")</f>
        <v/>
      </c>
      <c r="D129" s="158">
        <f>IFERROR(DAIRY!J16,"")</f>
        <v/>
      </c>
      <c r="E129" s="158">
        <f>IFERROR(FATTENING!J21,"")</f>
        <v/>
      </c>
      <c r="F129" s="158">
        <f>IFERROR(LOGISTICS!J12,"")</f>
        <v/>
      </c>
      <c r="G129" s="158">
        <f>IFERROR(SUM(C129:F129),"")</f>
        <v/>
      </c>
      <c r="H129" s="157" t="n"/>
      <c r="I129" s="241" t="n"/>
      <c r="J129" s="241" t="n"/>
      <c r="K129" s="241" t="n"/>
      <c r="L129" s="241" t="n"/>
      <c r="M129" s="241" t="n"/>
      <c r="N129" s="241" t="n"/>
      <c r="O129" s="241" t="n"/>
      <c r="P129" s="241" t="n"/>
      <c r="Q129" s="241" t="n"/>
      <c r="R129" s="241" t="n"/>
      <c r="S129" s="241" t="n"/>
      <c r="T129" s="241" t="n"/>
      <c r="U129" s="241" t="n"/>
      <c r="V129" s="241" t="n"/>
      <c r="W129" s="241" t="n"/>
      <c r="X129" s="241" t="n"/>
      <c r="Y129" s="241" t="n"/>
      <c r="Z129" s="241" t="n"/>
      <c r="AA129" s="241" t="n"/>
      <c r="AB129" s="241" t="n"/>
      <c r="AC129" s="241" t="n"/>
      <c r="AD129" s="241" t="n"/>
      <c r="AE129" s="241" t="n"/>
      <c r="AF129" s="241" t="n"/>
      <c r="AG129" s="241" t="n"/>
      <c r="AH129" s="241" t="n"/>
      <c r="AI129" s="241" t="n"/>
      <c r="AJ129" s="241" t="n"/>
      <c r="AK129" s="241" t="n"/>
    </row>
    <row r="130" ht="32" customHeight="1" s="239">
      <c r="A130" s="140" t="n">
        <v>9</v>
      </c>
      <c r="B130" s="241" t="inlineStr">
        <is>
          <t>Debt Service Capacity</t>
        </is>
      </c>
      <c r="C130" s="140">
        <f>IFERROR(C129/ASSUMPTIONS!$B$16,0)</f>
        <v/>
      </c>
      <c r="D130" s="140">
        <f>IFERROR(D129/ASSUMPTIONS!$B$16,0)</f>
        <v/>
      </c>
      <c r="E130" s="140">
        <f>IFERROR(E129/ASSUMPTIONS!$B$16,0)</f>
        <v/>
      </c>
      <c r="F130" s="140">
        <f>IFERROR(F129/ASSUMPTIONS!$B$16,0)</f>
        <v/>
      </c>
      <c r="G130" s="140">
        <f>IFERROR(SUM(C130:F130),"")</f>
        <v/>
      </c>
      <c r="H130" s="241" t="n"/>
      <c r="I130" s="241" t="n"/>
      <c r="J130" s="241" t="n"/>
      <c r="K130" s="241" t="n"/>
      <c r="L130" s="241" t="n"/>
      <c r="M130" s="241" t="n"/>
      <c r="N130" s="241" t="n"/>
      <c r="O130" s="241" t="n"/>
      <c r="P130" s="241" t="n"/>
      <c r="Q130" s="241" t="n"/>
      <c r="R130" s="241" t="n"/>
      <c r="S130" s="241" t="n"/>
      <c r="T130" s="241" t="n"/>
      <c r="U130" s="241" t="n"/>
      <c r="V130" s="241" t="n"/>
      <c r="W130" s="241" t="n"/>
      <c r="X130" s="241" t="n"/>
      <c r="Y130" s="241" t="n"/>
      <c r="Z130" s="241" t="n"/>
      <c r="AA130" s="241" t="n"/>
      <c r="AB130" s="241" t="n"/>
      <c r="AC130" s="241" t="n"/>
      <c r="AD130" s="241" t="n"/>
      <c r="AE130" s="241" t="n"/>
      <c r="AF130" s="241" t="n"/>
      <c r="AG130" s="241" t="n"/>
      <c r="AH130" s="241" t="n"/>
      <c r="AI130" s="241" t="n"/>
      <c r="AJ130" s="241" t="n"/>
      <c r="AK130" s="241" t="n"/>
    </row>
    <row r="131" ht="16" customHeight="1" s="239">
      <c r="A131" s="158" t="n">
        <v>9</v>
      </c>
      <c r="B131" s="157" t="inlineStr">
        <is>
          <t>Ending Cash</t>
        </is>
      </c>
      <c r="C131" s="158">
        <f>IFERROR(SUM(C123:C130),"")</f>
        <v/>
      </c>
      <c r="D131" s="158">
        <f>IFERROR(SUM(D123:D130),"")</f>
        <v/>
      </c>
      <c r="E131" s="158">
        <f>IFERROR(SUM(E123:E130),"")</f>
        <v/>
      </c>
      <c r="F131" s="158">
        <f>IFERROR(SUM(F123:F130),"")</f>
        <v/>
      </c>
      <c r="G131" s="158">
        <f>IFERROR(SUM(C131:F131),"")</f>
        <v/>
      </c>
      <c r="H131" s="157" t="n"/>
      <c r="I131" s="241" t="n"/>
      <c r="J131" s="241" t="n"/>
      <c r="K131" s="241" t="n"/>
      <c r="L131" s="241" t="n"/>
      <c r="M131" s="241" t="n"/>
      <c r="N131" s="241" t="n"/>
      <c r="O131" s="241" t="n"/>
      <c r="P131" s="241" t="n"/>
      <c r="Q131" s="241" t="n"/>
      <c r="R131" s="241" t="n"/>
      <c r="S131" s="241" t="n"/>
      <c r="T131" s="241" t="n"/>
      <c r="U131" s="241" t="n"/>
      <c r="V131" s="241" t="n"/>
      <c r="W131" s="241" t="n"/>
      <c r="X131" s="241" t="n"/>
      <c r="Y131" s="241" t="n"/>
      <c r="Z131" s="241" t="n"/>
      <c r="AA131" s="241" t="n"/>
      <c r="AB131" s="241" t="n"/>
      <c r="AC131" s="241" t="n"/>
      <c r="AD131" s="241" t="n"/>
      <c r="AE131" s="241" t="n"/>
      <c r="AF131" s="241" t="n"/>
      <c r="AG131" s="241" t="n"/>
      <c r="AH131" s="241" t="n"/>
      <c r="AI131" s="241" t="n"/>
      <c r="AJ131" s="241" t="n"/>
      <c r="AK131" s="241" t="n"/>
    </row>
    <row r="132" ht="16" customHeight="1" s="239">
      <c r="A132" s="140" t="n">
        <v>10</v>
      </c>
      <c r="B132" s="241" t="inlineStr">
        <is>
          <t>EBITDA</t>
        </is>
      </c>
      <c r="C132" s="140">
        <f>IFERROR(FEED_FARM!K22,"")</f>
        <v/>
      </c>
      <c r="D132" s="140">
        <f>IFERROR(DAIRY!K15,"")</f>
        <v/>
      </c>
      <c r="E132" s="140">
        <f>IFERROR(FATTENING!K20,"")</f>
        <v/>
      </c>
      <c r="F132" s="140">
        <f>IFERROR(LOGISTICS!K11,"")</f>
        <v/>
      </c>
      <c r="G132" s="140">
        <f>IFERROR(SUM(C132:F132),"")</f>
        <v/>
      </c>
      <c r="H132" s="241" t="n"/>
      <c r="I132" s="241" t="n"/>
      <c r="J132" s="241" t="n"/>
      <c r="K132" s="241" t="n"/>
      <c r="L132" s="241" t="n"/>
      <c r="M132" s="241" t="n"/>
      <c r="N132" s="241" t="n"/>
      <c r="O132" s="241" t="n"/>
      <c r="P132" s="241" t="n"/>
      <c r="Q132" s="241" t="n"/>
      <c r="R132" s="241" t="n"/>
      <c r="S132" s="241" t="n"/>
      <c r="T132" s="241" t="n"/>
      <c r="U132" s="241" t="n"/>
      <c r="V132" s="241" t="n"/>
      <c r="W132" s="241" t="n"/>
      <c r="X132" s="241" t="n"/>
      <c r="Y132" s="241" t="n"/>
      <c r="Z132" s="241" t="n"/>
      <c r="AA132" s="241" t="n"/>
      <c r="AB132" s="241" t="n"/>
      <c r="AC132" s="241" t="n"/>
      <c r="AD132" s="241" t="n"/>
      <c r="AE132" s="241" t="n"/>
      <c r="AF132" s="241" t="n"/>
      <c r="AG132" s="241" t="n"/>
      <c r="AH132" s="241" t="n"/>
      <c r="AI132" s="241" t="n"/>
      <c r="AJ132" s="241" t="n"/>
      <c r="AK132" s="241" t="n"/>
    </row>
    <row r="133" ht="32" customHeight="1" s="239">
      <c r="A133" s="140" t="n">
        <v>10</v>
      </c>
      <c r="B133" s="241" t="inlineStr">
        <is>
          <t>Working Capital</t>
        </is>
      </c>
      <c r="C133" s="140">
        <f>IFERROR(WORKING_CAPITAL!K$16,"")</f>
        <v/>
      </c>
      <c r="D133" s="140">
        <f>IFERROR(WORKING_CAPITAL!K$20,"")</f>
        <v/>
      </c>
      <c r="E133" s="140">
        <f>IFERROR(WORKING_CAPITAL!K$21,"")</f>
        <v/>
      </c>
      <c r="F133" s="140">
        <f>IFERROR(WORKING_CAPITAL!K$22,"")</f>
        <v/>
      </c>
      <c r="G133" s="140">
        <f>IFERROR(SUM(C133:F133),"")</f>
        <v/>
      </c>
      <c r="H133" s="241" t="n"/>
      <c r="I133" s="241" t="n"/>
      <c r="J133" s="241" t="n"/>
      <c r="K133" s="241" t="n"/>
      <c r="L133" s="241" t="n"/>
      <c r="M133" s="241" t="n"/>
      <c r="N133" s="241" t="n"/>
      <c r="O133" s="241" t="n"/>
      <c r="P133" s="241" t="n"/>
      <c r="Q133" s="241" t="n"/>
      <c r="R133" s="241" t="n"/>
      <c r="S133" s="241" t="n"/>
      <c r="T133" s="241" t="n"/>
      <c r="U133" s="241" t="n"/>
      <c r="V133" s="241" t="n"/>
      <c r="W133" s="241" t="n"/>
      <c r="X133" s="241" t="n"/>
      <c r="Y133" s="241" t="n"/>
      <c r="Z133" s="241" t="n"/>
      <c r="AA133" s="241" t="n"/>
      <c r="AB133" s="241" t="n"/>
      <c r="AC133" s="241" t="n"/>
      <c r="AD133" s="241" t="n"/>
      <c r="AE133" s="241" t="n"/>
      <c r="AF133" s="241" t="n"/>
      <c r="AG133" s="241" t="n"/>
      <c r="AH133" s="241" t="n"/>
      <c r="AI133" s="241" t="n"/>
      <c r="AJ133" s="241" t="n"/>
      <c r="AK133" s="241" t="n"/>
    </row>
    <row r="134" ht="32" customHeight="1" s="239">
      <c r="A134" s="140" t="n">
        <v>10</v>
      </c>
      <c r="B134" s="241" t="inlineStr">
        <is>
          <t>Maintenance CAPEX</t>
        </is>
      </c>
      <c r="C134" s="140">
        <f>IFERROR(CAPEX!M$11*0.03,"")</f>
        <v/>
      </c>
      <c r="D134" s="140">
        <f>IFERROR(CAPEX!M$11*0.07,"")</f>
        <v/>
      </c>
      <c r="E134" s="140">
        <f>IFERROR(CAPEX!M$11*0.02,"")</f>
        <v/>
      </c>
      <c r="F134" s="140">
        <f>IFERROR(CAPEX!M$11*0.03,"")</f>
        <v/>
      </c>
      <c r="G134" s="140">
        <f>IFERROR(SUM(C134:F134),"")</f>
        <v/>
      </c>
      <c r="H134" s="241" t="n"/>
      <c r="I134" s="241" t="n"/>
      <c r="J134" s="241" t="n"/>
      <c r="K134" s="241" t="n"/>
      <c r="L134" s="241" t="n"/>
      <c r="M134" s="241" t="n"/>
      <c r="N134" s="241" t="n"/>
      <c r="O134" s="241" t="n"/>
      <c r="P134" s="241" t="n"/>
      <c r="Q134" s="241" t="n"/>
      <c r="R134" s="241" t="n"/>
      <c r="S134" s="241" t="n"/>
      <c r="T134" s="241" t="n"/>
      <c r="U134" s="241" t="n"/>
      <c r="V134" s="241" t="n"/>
      <c r="W134" s="241" t="n"/>
      <c r="X134" s="241" t="n"/>
      <c r="Y134" s="241" t="n"/>
      <c r="Z134" s="241" t="n"/>
      <c r="AA134" s="241" t="n"/>
      <c r="AB134" s="241" t="n"/>
      <c r="AC134" s="241" t="n"/>
      <c r="AD134" s="241" t="n"/>
      <c r="AE134" s="241" t="n"/>
      <c r="AF134" s="241" t="n"/>
      <c r="AG134" s="241" t="n"/>
      <c r="AH134" s="241" t="n"/>
      <c r="AI134" s="241" t="n"/>
      <c r="AJ134" s="241" t="n"/>
      <c r="AK134" s="241" t="n"/>
    </row>
    <row r="135" ht="32" customHeight="1" s="239">
      <c r="A135" s="140" t="n">
        <v>10</v>
      </c>
      <c r="B135" s="241" t="inlineStr">
        <is>
          <t>Expansion CAPEX</t>
        </is>
      </c>
      <c r="C135" s="140">
        <f>IFERROR(CAPEX!M$11*0.15,"")</f>
        <v/>
      </c>
      <c r="D135" s="140">
        <f>IFERROR(CAPEX!M$11*0.7,"")</f>
        <v/>
      </c>
      <c r="E135" s="140">
        <f>IFERROR(CAPEX!M$11*0.05,"")</f>
        <v/>
      </c>
      <c r="F135" s="140">
        <f>IFERROR(CAPEX!M$11*0.1,"")</f>
        <v/>
      </c>
      <c r="G135" s="140">
        <f>IFERROR(SUM(C135:F135),"")</f>
        <v/>
      </c>
      <c r="H135" s="241" t="n"/>
      <c r="I135" s="241" t="n"/>
      <c r="J135" s="241" t="n"/>
      <c r="K135" s="241" t="n"/>
      <c r="L135" s="241" t="n"/>
      <c r="M135" s="241" t="n"/>
      <c r="N135" s="241" t="n"/>
      <c r="O135" s="241" t="n"/>
      <c r="P135" s="241" t="n"/>
      <c r="Q135" s="241" t="n"/>
      <c r="R135" s="241" t="n"/>
      <c r="S135" s="241" t="n"/>
      <c r="T135" s="241" t="n"/>
      <c r="U135" s="241" t="n"/>
      <c r="V135" s="241" t="n"/>
      <c r="W135" s="241" t="n"/>
      <c r="X135" s="241" t="n"/>
      <c r="Y135" s="241" t="n"/>
      <c r="Z135" s="241" t="n"/>
      <c r="AA135" s="241" t="n"/>
      <c r="AB135" s="241" t="n"/>
      <c r="AC135" s="241" t="n"/>
      <c r="AD135" s="241" t="n"/>
      <c r="AE135" s="241" t="n"/>
      <c r="AF135" s="241" t="n"/>
      <c r="AG135" s="241" t="n"/>
      <c r="AH135" s="241" t="n"/>
      <c r="AI135" s="241" t="n"/>
      <c r="AJ135" s="241" t="n"/>
      <c r="AK135" s="241" t="n"/>
    </row>
    <row r="136" ht="32" customHeight="1" s="239">
      <c r="A136" s="158" t="n">
        <v>10</v>
      </c>
      <c r="B136" s="157" t="inlineStr">
        <is>
          <t>Operating Cash Flow</t>
        </is>
      </c>
      <c r="C136" s="158">
        <f>IFERROR(C132-C133,"")</f>
        <v/>
      </c>
      <c r="D136" s="158">
        <f>IFERROR(D132-D133,"")</f>
        <v/>
      </c>
      <c r="E136" s="158">
        <f>IFERROR(E132-E133,"")</f>
        <v/>
      </c>
      <c r="F136" s="158">
        <f>IFERROR(F132-F133,"")</f>
        <v/>
      </c>
      <c r="G136" s="158">
        <f>IFERROR(SUM(C136:F136),"")</f>
        <v/>
      </c>
      <c r="H136" s="157" t="n"/>
      <c r="I136" s="241" t="n"/>
      <c r="J136" s="241" t="n"/>
      <c r="K136" s="241" t="n"/>
      <c r="L136" s="241" t="n"/>
      <c r="M136" s="241" t="n"/>
      <c r="N136" s="241" t="n"/>
      <c r="O136" s="241" t="n"/>
      <c r="P136" s="241" t="n"/>
      <c r="Q136" s="241" t="n"/>
      <c r="R136" s="241" t="n"/>
      <c r="S136" s="241" t="n"/>
      <c r="T136" s="241" t="n"/>
      <c r="U136" s="241" t="n"/>
      <c r="V136" s="241" t="n"/>
      <c r="W136" s="241" t="n"/>
      <c r="X136" s="241" t="n"/>
      <c r="Y136" s="241" t="n"/>
      <c r="Z136" s="241" t="n"/>
      <c r="AA136" s="241" t="n"/>
      <c r="AB136" s="241" t="n"/>
      <c r="AC136" s="241" t="n"/>
      <c r="AD136" s="241" t="n"/>
      <c r="AE136" s="241" t="n"/>
      <c r="AF136" s="241" t="n"/>
      <c r="AG136" s="241" t="n"/>
      <c r="AH136" s="241" t="n"/>
      <c r="AI136" s="241" t="n"/>
      <c r="AJ136" s="241" t="n"/>
      <c r="AK136" s="241" t="n"/>
    </row>
    <row r="137" ht="32" customHeight="1" s="239">
      <c r="A137" s="158" t="n">
        <v>10</v>
      </c>
      <c r="B137" s="157" t="inlineStr">
        <is>
          <t>Free Cash Flow</t>
        </is>
      </c>
      <c r="C137" s="158">
        <f>IFERROR(C136-C134-C135,"")</f>
        <v/>
      </c>
      <c r="D137" s="158">
        <f>IFERROR(D136-D134-D135,"")</f>
        <v/>
      </c>
      <c r="E137" s="158">
        <f>IFERROR(E136-E134-E135,"")</f>
        <v/>
      </c>
      <c r="F137" s="158">
        <f>IFERROR(F136-F134-F135,"")</f>
        <v/>
      </c>
      <c r="G137" s="158">
        <f>IFERROR(SUM(C137:F137),"")</f>
        <v/>
      </c>
      <c r="H137" s="157" t="n"/>
      <c r="I137" s="241" t="n"/>
      <c r="J137" s="241" t="n"/>
      <c r="K137" s="241" t="n"/>
      <c r="L137" s="241" t="n"/>
      <c r="M137" s="241" t="n"/>
      <c r="N137" s="241" t="n"/>
      <c r="O137" s="241" t="n"/>
      <c r="P137" s="241" t="n"/>
      <c r="Q137" s="241" t="n"/>
      <c r="R137" s="241" t="n"/>
      <c r="S137" s="241" t="n"/>
      <c r="T137" s="241" t="n"/>
      <c r="U137" s="241" t="n"/>
      <c r="V137" s="241" t="n"/>
      <c r="W137" s="241" t="n"/>
      <c r="X137" s="241" t="n"/>
      <c r="Y137" s="241" t="n"/>
      <c r="Z137" s="241" t="n"/>
      <c r="AA137" s="241" t="n"/>
      <c r="AB137" s="241" t="n"/>
      <c r="AC137" s="241" t="n"/>
      <c r="AD137" s="241" t="n"/>
      <c r="AE137" s="241" t="n"/>
      <c r="AF137" s="241" t="n"/>
      <c r="AG137" s="241" t="n"/>
      <c r="AH137" s="241" t="n"/>
      <c r="AI137" s="241" t="n"/>
      <c r="AJ137" s="241" t="n"/>
      <c r="AK137" s="241" t="n"/>
    </row>
    <row r="138" ht="16" customHeight="1" s="239">
      <c r="A138" s="158" t="n">
        <v>10</v>
      </c>
      <c r="B138" s="157" t="inlineStr">
        <is>
          <t>CFADS</t>
        </is>
      </c>
      <c r="C138" s="158">
        <f>IFERROR(FEED_FARM!K23,"")</f>
        <v/>
      </c>
      <c r="D138" s="158">
        <f>IFERROR(DAIRY!K16,"")</f>
        <v/>
      </c>
      <c r="E138" s="158">
        <f>IFERROR(FATTENING!K21,"")</f>
        <v/>
      </c>
      <c r="F138" s="158">
        <f>IFERROR(LOGISTICS!K12,"")</f>
        <v/>
      </c>
      <c r="G138" s="158">
        <f>IFERROR(SUM(C138:F138),"")</f>
        <v/>
      </c>
      <c r="H138" s="157" t="n"/>
      <c r="I138" s="241" t="n"/>
      <c r="J138" s="241" t="n"/>
      <c r="K138" s="241" t="n"/>
      <c r="L138" s="241" t="n"/>
      <c r="M138" s="241" t="n"/>
      <c r="N138" s="241" t="n"/>
      <c r="O138" s="241" t="n"/>
      <c r="P138" s="241" t="n"/>
      <c r="Q138" s="241" t="n"/>
      <c r="R138" s="241" t="n"/>
      <c r="S138" s="241" t="n"/>
      <c r="T138" s="241" t="n"/>
      <c r="U138" s="241" t="n"/>
      <c r="V138" s="241" t="n"/>
      <c r="W138" s="241" t="n"/>
      <c r="X138" s="241" t="n"/>
      <c r="Y138" s="241" t="n"/>
      <c r="Z138" s="241" t="n"/>
      <c r="AA138" s="241" t="n"/>
      <c r="AB138" s="241" t="n"/>
      <c r="AC138" s="241" t="n"/>
      <c r="AD138" s="241" t="n"/>
      <c r="AE138" s="241" t="n"/>
      <c r="AF138" s="241" t="n"/>
      <c r="AG138" s="241" t="n"/>
      <c r="AH138" s="241" t="n"/>
      <c r="AI138" s="241" t="n"/>
      <c r="AJ138" s="241" t="n"/>
      <c r="AK138" s="241" t="n"/>
    </row>
    <row r="139" ht="32" customHeight="1" s="239">
      <c r="A139" s="140" t="n">
        <v>10</v>
      </c>
      <c r="B139" s="241" t="inlineStr">
        <is>
          <t>Debt Service Capacity</t>
        </is>
      </c>
      <c r="C139" s="140">
        <f>IFERROR(C138/ASSUMPTIONS!$B$16,0)</f>
        <v/>
      </c>
      <c r="D139" s="140">
        <f>IFERROR(D138/ASSUMPTIONS!$B$16,0)</f>
        <v/>
      </c>
      <c r="E139" s="140">
        <f>IFERROR(E138/ASSUMPTIONS!$B$16,0)</f>
        <v/>
      </c>
      <c r="F139" s="140">
        <f>IFERROR(F138/ASSUMPTIONS!$B$16,0)</f>
        <v/>
      </c>
      <c r="G139" s="140">
        <f>IFERROR(SUM(C139:F139),"")</f>
        <v/>
      </c>
      <c r="H139" s="241" t="n"/>
      <c r="I139" s="241" t="n"/>
      <c r="J139" s="241" t="n"/>
      <c r="K139" s="241" t="n"/>
      <c r="L139" s="241" t="n"/>
      <c r="M139" s="241" t="n"/>
      <c r="N139" s="241" t="n"/>
      <c r="O139" s="241" t="n"/>
      <c r="P139" s="241" t="n"/>
      <c r="Q139" s="241" t="n"/>
      <c r="R139" s="241" t="n"/>
      <c r="S139" s="241" t="n"/>
      <c r="T139" s="241" t="n"/>
      <c r="U139" s="241" t="n"/>
      <c r="V139" s="241" t="n"/>
      <c r="W139" s="241" t="n"/>
      <c r="X139" s="241" t="n"/>
      <c r="Y139" s="241" t="n"/>
      <c r="Z139" s="241" t="n"/>
      <c r="AA139" s="241" t="n"/>
      <c r="AB139" s="241" t="n"/>
      <c r="AC139" s="241" t="n"/>
      <c r="AD139" s="241" t="n"/>
      <c r="AE139" s="241" t="n"/>
      <c r="AF139" s="241" t="n"/>
      <c r="AG139" s="241" t="n"/>
      <c r="AH139" s="241" t="n"/>
      <c r="AI139" s="241" t="n"/>
      <c r="AJ139" s="241" t="n"/>
      <c r="AK139" s="241" t="n"/>
    </row>
    <row r="140" ht="16" customHeight="1" s="239">
      <c r="A140" s="158" t="n">
        <v>10</v>
      </c>
      <c r="B140" s="157" t="inlineStr">
        <is>
          <t>Ending Cash</t>
        </is>
      </c>
      <c r="C140" s="158">
        <f>IFERROR(SUM(C132:C139),"")</f>
        <v/>
      </c>
      <c r="D140" s="158">
        <f>IFERROR(SUM(D132:D139),"")</f>
        <v/>
      </c>
      <c r="E140" s="158">
        <f>IFERROR(SUM(E132:E139),"")</f>
        <v/>
      </c>
      <c r="F140" s="158">
        <f>IFERROR(SUM(F132:F139),"")</f>
        <v/>
      </c>
      <c r="G140" s="158">
        <f>IFERROR(SUM(C140:F140),"")</f>
        <v/>
      </c>
      <c r="H140" s="157" t="n"/>
      <c r="I140" s="241" t="n"/>
      <c r="J140" s="241" t="n"/>
      <c r="K140" s="241" t="n"/>
      <c r="L140" s="241" t="n"/>
      <c r="M140" s="241" t="n"/>
      <c r="N140" s="241" t="n"/>
      <c r="O140" s="241" t="n"/>
      <c r="P140" s="241" t="n"/>
      <c r="Q140" s="241" t="n"/>
      <c r="R140" s="241" t="n"/>
      <c r="S140" s="241" t="n"/>
      <c r="T140" s="241" t="n"/>
      <c r="U140" s="241" t="n"/>
      <c r="V140" s="241" t="n"/>
      <c r="W140" s="241" t="n"/>
      <c r="X140" s="241" t="n"/>
      <c r="Y140" s="241" t="n"/>
      <c r="Z140" s="241" t="n"/>
      <c r="AA140" s="241" t="n"/>
      <c r="AB140" s="241" t="n"/>
      <c r="AC140" s="241" t="n"/>
      <c r="AD140" s="241" t="n"/>
      <c r="AE140" s="241" t="n"/>
      <c r="AF140" s="241" t="n"/>
      <c r="AG140" s="241" t="n"/>
      <c r="AH140" s="241" t="n"/>
      <c r="AI140" s="241" t="n"/>
      <c r="AJ140" s="241" t="n"/>
      <c r="AK140" s="241" t="n"/>
    </row>
    <row r="145">
      <c r="A145" s="265" t="inlineStr">
        <is>
          <t>CFADS Waterfall - Version 2 Authorized Calculation</t>
        </is>
      </c>
    </row>
    <row r="146">
      <c r="A146" s="265" t="inlineStr">
        <is>
          <t>Line Item</t>
        </is>
      </c>
      <c r="B146" s="265" t="inlineStr">
        <is>
          <t>Y1</t>
        </is>
      </c>
      <c r="C146" s="265" t="inlineStr">
        <is>
          <t>Y2</t>
        </is>
      </c>
      <c r="D146" s="265" t="inlineStr">
        <is>
          <t>Y3</t>
        </is>
      </c>
      <c r="E146" s="265" t="inlineStr">
        <is>
          <t>Y4</t>
        </is>
      </c>
      <c r="F146" s="265" t="inlineStr">
        <is>
          <t>Y5</t>
        </is>
      </c>
      <c r="G146" s="265" t="inlineStr">
        <is>
          <t>Y6</t>
        </is>
      </c>
      <c r="H146" s="265" t="inlineStr">
        <is>
          <t>Y7</t>
        </is>
      </c>
      <c r="I146" s="265" t="inlineStr">
        <is>
          <t>Y8</t>
        </is>
      </c>
      <c r="J146" s="265" t="inlineStr">
        <is>
          <t>Y9</t>
        </is>
      </c>
      <c r="K146" s="265" t="inlineStr">
        <is>
          <t>Y10</t>
        </is>
      </c>
    </row>
    <row r="147">
      <c r="A147" s="394" t="inlineStr">
        <is>
          <t>EBITDA</t>
        </is>
      </c>
      <c r="B147">
        <f>IFERROR(PNL!B8,"")</f>
        <v/>
      </c>
      <c r="C147">
        <f>IFERROR(PNL!C8,"")</f>
        <v/>
      </c>
      <c r="D147">
        <f>IFERROR(PNL!D8,"")</f>
        <v/>
      </c>
      <c r="E147">
        <f>IFERROR(PNL!E8,"")</f>
        <v/>
      </c>
      <c r="F147">
        <f>IFERROR(PNL!F8,"")</f>
        <v/>
      </c>
      <c r="G147">
        <f>IFERROR(PNL!G8,"")</f>
        <v/>
      </c>
      <c r="H147">
        <f>IFERROR(PNL!H8,"")</f>
        <v/>
      </c>
      <c r="I147">
        <f>IFERROR(PNL!I8,"")</f>
        <v/>
      </c>
      <c r="J147">
        <f>IFERROR(PNL!J8,"")</f>
        <v/>
      </c>
      <c r="K147">
        <f>IFERROR(PNL!K8,"")</f>
        <v/>
      </c>
    </row>
    <row r="148">
      <c r="A148" s="394" t="inlineStr">
        <is>
          <t>Less Cash Taxes</t>
        </is>
      </c>
      <c r="B148">
        <f>IFERROR(PNL!B13,"")</f>
        <v/>
      </c>
      <c r="C148">
        <f>IFERROR(PNL!C13,"")</f>
        <v/>
      </c>
      <c r="D148">
        <f>IFERROR(PNL!D13,"")</f>
        <v/>
      </c>
      <c r="E148">
        <f>IFERROR(PNL!E13,"")</f>
        <v/>
      </c>
      <c r="F148">
        <f>IFERROR(PNL!F13,"")</f>
        <v/>
      </c>
      <c r="G148">
        <f>IFERROR(PNL!G13,"")</f>
        <v/>
      </c>
      <c r="H148">
        <f>IFERROR(PNL!H13,"")</f>
        <v/>
      </c>
      <c r="I148">
        <f>IFERROR(PNL!I13,"")</f>
        <v/>
      </c>
      <c r="J148">
        <f>IFERROR(PNL!J13,"")</f>
        <v/>
      </c>
      <c r="K148">
        <f>IFERROR(PNL!K13,"")</f>
        <v/>
      </c>
    </row>
    <row r="149">
      <c r="A149" s="394" t="inlineStr">
        <is>
          <t>Less Delta NWC</t>
        </is>
      </c>
      <c r="B149">
        <f>IFERROR(WORKING_CAPITAL!B8,"")</f>
        <v/>
      </c>
      <c r="C149">
        <f>IFERROR(WORKING_CAPITAL!C8,"")</f>
        <v/>
      </c>
      <c r="D149">
        <f>IFERROR(WORKING_CAPITAL!D8,"")</f>
        <v/>
      </c>
      <c r="E149">
        <f>IFERROR(WORKING_CAPITAL!E8,"")</f>
        <v/>
      </c>
      <c r="F149">
        <f>IFERROR(WORKING_CAPITAL!F8,"")</f>
        <v/>
      </c>
      <c r="G149">
        <f>IFERROR(WORKING_CAPITAL!G8,"")</f>
        <v/>
      </c>
      <c r="H149">
        <f>IFERROR(WORKING_CAPITAL!H8,"")</f>
        <v/>
      </c>
      <c r="I149">
        <f>IFERROR(WORKING_CAPITAL!I8,"")</f>
        <v/>
      </c>
      <c r="J149">
        <f>IFERROR(WORKING_CAPITAL!J8,"")</f>
        <v/>
      </c>
      <c r="K149">
        <f>IFERROR(WORKING_CAPITAL!K8,"")</f>
        <v/>
      </c>
    </row>
    <row r="150">
      <c r="A150" s="394" t="inlineStr">
        <is>
          <t>Less Maintenance CAPEX</t>
        </is>
      </c>
      <c r="B150">
        <f>IFERROR(CAPEX!D$11*3%,"")</f>
        <v/>
      </c>
      <c r="C150">
        <f>IFERROR(CAPEX!E$11*3%,"")</f>
        <v/>
      </c>
      <c r="D150">
        <f>IFERROR(CAPEX!F$11*3%,"")</f>
        <v/>
      </c>
      <c r="E150">
        <f>IFERROR(CAPEX!G$11*3%,"")</f>
        <v/>
      </c>
      <c r="F150">
        <f>IFERROR(CAPEX!H$11*3%,"")</f>
        <v/>
      </c>
      <c r="G150">
        <f>IFERROR(CAPEX!I$11*3%,"")</f>
        <v/>
      </c>
      <c r="H150">
        <f>IFERROR(CAPEX!J$11*3%,"")</f>
        <v/>
      </c>
      <c r="I150">
        <f>IFERROR(CAPEX!K$11*3%,"")</f>
        <v/>
      </c>
      <c r="J150">
        <f>IFERROR(CAPEX!L$11*3%,"")</f>
        <v/>
      </c>
      <c r="K150">
        <f>IFERROR(CAPEX!M$11*3%,"")</f>
        <v/>
      </c>
    </row>
    <row r="151">
      <c r="A151" s="393" t="inlineStr">
        <is>
          <t>Plus Fertilizer Savings</t>
        </is>
      </c>
      <c r="B151">
        <f>IFERROR(OPEX!B38,"")</f>
        <v/>
      </c>
      <c r="C151">
        <f>IFERROR(OPEX!C38,"")</f>
        <v/>
      </c>
      <c r="D151">
        <f>IFERROR(OPEX!D38,"")</f>
        <v/>
      </c>
      <c r="E151">
        <f>IFERROR(OPEX!E38,"")</f>
        <v/>
      </c>
      <c r="F151">
        <f>IFERROR(OPEX!F38,"")</f>
        <v/>
      </c>
      <c r="G151">
        <f>IFERROR(OPEX!G38,"")</f>
        <v/>
      </c>
      <c r="H151">
        <f>IFERROR(OPEX!H38,"")</f>
        <v/>
      </c>
      <c r="I151">
        <f>IFERROR(OPEX!I38,"")</f>
        <v/>
      </c>
      <c r="J151">
        <f>IFERROR(OPEX!J38,"")</f>
        <v/>
      </c>
      <c r="K151">
        <f>IFERROR(OPEX!K38,"")</f>
        <v/>
      </c>
    </row>
    <row r="152">
      <c r="A152" s="393" t="inlineStr">
        <is>
          <t>Plus Utility Savings</t>
        </is>
      </c>
      <c r="B152">
        <f>IFERROR(OPEX!B35,"")</f>
        <v/>
      </c>
      <c r="C152">
        <f>IFERROR(OPEX!C35,"")</f>
        <v/>
      </c>
      <c r="D152">
        <f>IFERROR(OPEX!D35,"")</f>
        <v/>
      </c>
      <c r="E152">
        <f>IFERROR(OPEX!E35,"")</f>
        <v/>
      </c>
      <c r="F152">
        <f>IFERROR(OPEX!F35,"")</f>
        <v/>
      </c>
      <c r="G152">
        <f>IFERROR(OPEX!G35,"")</f>
        <v/>
      </c>
      <c r="H152">
        <f>IFERROR(OPEX!H35,"")</f>
        <v/>
      </c>
      <c r="I152">
        <f>IFERROR(OPEX!I35,"")</f>
        <v/>
      </c>
      <c r="J152">
        <f>IFERROR(OPEX!J35,"")</f>
        <v/>
      </c>
      <c r="K152">
        <f>IFERROR(OPEX!K35,"")</f>
        <v/>
      </c>
    </row>
    <row r="153">
      <c r="A153" s="393" t="inlineStr">
        <is>
          <t>Plus Diesel Savings</t>
        </is>
      </c>
      <c r="B153">
        <f>IFERROR(OPEX!B36+OPEX!B37,"")</f>
        <v/>
      </c>
      <c r="C153">
        <f>IFERROR(OPEX!C36+OPEX!C37,"")</f>
        <v/>
      </c>
      <c r="D153">
        <f>IFERROR(OPEX!D36+OPEX!D37,"")</f>
        <v/>
      </c>
      <c r="E153">
        <f>IFERROR(OPEX!E36+OPEX!E37,"")</f>
        <v/>
      </c>
      <c r="F153">
        <f>IFERROR(OPEX!F36+OPEX!F37,"")</f>
        <v/>
      </c>
      <c r="G153">
        <f>IFERROR(OPEX!G36+OPEX!G37,"")</f>
        <v/>
      </c>
      <c r="H153">
        <f>IFERROR(OPEX!H36+OPEX!H37,"")</f>
        <v/>
      </c>
      <c r="I153">
        <f>IFERROR(OPEX!I36+OPEX!I37,"")</f>
        <v/>
      </c>
      <c r="J153">
        <f>IFERROR(OPEX!J36+OPEX!J37,"")</f>
        <v/>
      </c>
      <c r="K153">
        <f>IFERROR(OPEX!K36+OPEX!K37,"")</f>
        <v/>
      </c>
    </row>
    <row r="154">
      <c r="A154" s="393" t="inlineStr">
        <is>
          <t>CFADS</t>
        </is>
      </c>
      <c r="B154">
        <f>IFERROR(B147-B148-B149-B150+B151+B152+B153,"")</f>
        <v/>
      </c>
      <c r="C154">
        <f>IFERROR(C147-C148-C149-C150+C151+C152+C153,"")</f>
        <v/>
      </c>
      <c r="D154">
        <f>IFERROR(D147-D148-D149-D150+D151+D152+D153,"")</f>
        <v/>
      </c>
      <c r="E154">
        <f>IFERROR(E147-E148-E149-E150+E151+E152+E153,"")</f>
        <v/>
      </c>
      <c r="F154">
        <f>IFERROR(F147-F148-F149-F150+F151+F152+F153,"")</f>
        <v/>
      </c>
      <c r="G154">
        <f>IFERROR(G147-G148-G149-G150+G151+G152+G153,"")</f>
        <v/>
      </c>
      <c r="H154">
        <f>IFERROR(H147-H148-H149-H150+H151+H152+H153,"")</f>
        <v/>
      </c>
      <c r="I154">
        <f>IFERROR(I147-I148-I149-I150+I151+I152+I153,"")</f>
        <v/>
      </c>
      <c r="J154">
        <f>IFERROR(J147-J148-J149-J150+J151+J152+J153,"")</f>
        <v/>
      </c>
      <c r="K154">
        <f>IFERROR(K147-K148-K149-K150+K151+K152+K153,"")</f>
        <v/>
      </c>
    </row>
    <row r="155">
      <c r="A155" s="394" t="inlineStr">
        <is>
          <t>Less Interest</t>
        </is>
      </c>
      <c r="B155">
        <f>IFERROR(PNL!B11,"")</f>
        <v/>
      </c>
      <c r="C155">
        <f>IFERROR(PNL!C11,"")</f>
        <v/>
      </c>
      <c r="D155">
        <f>IFERROR(PNL!D11,"")</f>
        <v/>
      </c>
      <c r="E155">
        <f>IFERROR(PNL!E11,"")</f>
        <v/>
      </c>
      <c r="F155">
        <f>IFERROR(PNL!F11,"")</f>
        <v/>
      </c>
      <c r="G155">
        <f>IFERROR(PNL!G11,"")</f>
        <v/>
      </c>
      <c r="H155">
        <f>IFERROR(PNL!H11,"")</f>
        <v/>
      </c>
      <c r="I155">
        <f>IFERROR(PNL!I11,"")</f>
        <v/>
      </c>
      <c r="J155">
        <f>IFERROR(PNL!J11,"")</f>
        <v/>
      </c>
      <c r="K155">
        <f>IFERROR(PNL!K11,"")</f>
        <v/>
      </c>
    </row>
    <row r="156">
      <c r="A156" s="394" t="inlineStr">
        <is>
          <t>Less Principal</t>
        </is>
      </c>
      <c r="B156">
        <f>IFERROR(FUNDING_DEBT!H57,"")</f>
        <v/>
      </c>
      <c r="C156">
        <f>IFERROR(FUNDING_DEBT!H58,"")</f>
        <v/>
      </c>
      <c r="D156">
        <f>IFERROR(FUNDING_DEBT!H59,"")</f>
        <v/>
      </c>
      <c r="E156">
        <f>IFERROR(FUNDING_DEBT!H60,"")</f>
        <v/>
      </c>
      <c r="F156">
        <f>IFERROR(FUNDING_DEBT!H61,"")</f>
        <v/>
      </c>
      <c r="G156">
        <f>IFERROR(FUNDING_DEBT!H62,"")</f>
        <v/>
      </c>
      <c r="H156">
        <f>IFERROR(FUNDING_DEBT!H63,"")</f>
        <v/>
      </c>
      <c r="I156">
        <f>IFERROR(FUNDING_DEBT!H64,"")</f>
        <v/>
      </c>
      <c r="J156">
        <f>IFERROR(FUNDING_DEBT!H65,"")</f>
        <v/>
      </c>
      <c r="K156">
        <f>IFERROR(FUNDING_DEBT!H66,"")</f>
        <v/>
      </c>
    </row>
    <row r="157">
      <c r="A157" s="394" t="inlineStr">
        <is>
          <t>Post Debt Cash Flow</t>
        </is>
      </c>
      <c r="B157">
        <f>IFERROR(B154-B155-B156,"")</f>
        <v/>
      </c>
      <c r="C157">
        <f>IFERROR(C154-C155-C156,"")</f>
        <v/>
      </c>
      <c r="D157">
        <f>IFERROR(D154-D155-D156,"")</f>
        <v/>
      </c>
      <c r="E157">
        <f>IFERROR(E154-E155-E156,"")</f>
        <v/>
      </c>
      <c r="F157">
        <f>IFERROR(F154-F155-F156,"")</f>
        <v/>
      </c>
      <c r="G157">
        <f>IFERROR(G154-G155-G156,"")</f>
        <v/>
      </c>
      <c r="H157">
        <f>IFERROR(H154-H155-H156,"")</f>
        <v/>
      </c>
      <c r="I157">
        <f>IFERROR(I154-I155-I156,"")</f>
        <v/>
      </c>
      <c r="J157">
        <f>IFERROR(J154-J155-J156,"")</f>
        <v/>
      </c>
      <c r="K157">
        <f>IFERROR(K154-K155-K156,"")</f>
        <v/>
      </c>
    </row>
    <row r="158">
      <c r="A158" s="394" t="inlineStr">
        <is>
          <t>Less Expansion CAPEX</t>
        </is>
      </c>
      <c r="B158">
        <f>IFERROR(FUNDING_DEBT!B17+FUNDING_DEBT!B18,"")</f>
        <v/>
      </c>
      <c r="C158">
        <f>IFERROR(FUNDING_DEBT!C17+FUNDING_DEBT!C18,"")</f>
        <v/>
      </c>
      <c r="D158">
        <f>IFERROR(FUNDING_DEBT!D17+FUNDING_DEBT!D18,"")</f>
        <v/>
      </c>
      <c r="E158">
        <f>IFERROR(FUNDING_DEBT!E17+FUNDING_DEBT!E18,"")</f>
        <v/>
      </c>
      <c r="F158">
        <f>IFERROR(FUNDING_DEBT!F17+FUNDING_DEBT!F18,"")</f>
        <v/>
      </c>
      <c r="G158">
        <f>IFERROR(FUNDING_DEBT!G17+FUNDING_DEBT!G18,"")</f>
        <v/>
      </c>
      <c r="H158">
        <f>IFERROR(FUNDING_DEBT!H17+FUNDING_DEBT!H18,"")</f>
        <v/>
      </c>
      <c r="I158">
        <f>IFERROR(FUNDING_DEBT!I17+FUNDING_DEBT!I18,"")</f>
        <v/>
      </c>
      <c r="J158">
        <f>IFERROR(FUNDING_DEBT!J17+FUNDING_DEBT!J18,"")</f>
        <v/>
      </c>
      <c r="K158">
        <f>IFERROR(FUNDING_DEBT!K17+FUNDING_DEBT!K18,"")</f>
        <v/>
      </c>
    </row>
    <row r="159">
      <c r="A159" s="393" t="inlineStr">
        <is>
          <t>Net Cash Flow</t>
        </is>
      </c>
      <c r="B159">
        <f>IFERROR(B157-B158,"")</f>
        <v/>
      </c>
      <c r="C159">
        <f>IFERROR(C157-C158,"")</f>
        <v/>
      </c>
      <c r="D159">
        <f>IFERROR(D157-D158,"")</f>
        <v/>
      </c>
      <c r="E159">
        <f>IFERROR(E157-E158,"")</f>
        <v/>
      </c>
      <c r="F159">
        <f>IFERROR(F157-F158,"")</f>
        <v/>
      </c>
      <c r="G159">
        <f>IFERROR(G157-G158,"")</f>
        <v/>
      </c>
      <c r="H159">
        <f>IFERROR(H157-H158,"")</f>
        <v/>
      </c>
      <c r="I159">
        <f>IFERROR(I157-I158,"")</f>
        <v/>
      </c>
      <c r="J159">
        <f>IFERROR(J157-J158,"")</f>
        <v/>
      </c>
      <c r="K159">
        <f>IFERROR(K157-K158,"")</f>
        <v/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1:AK1"/>
    <mergeCell ref="A2:AK2"/>
  </mergeCells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8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K1"/>
    </sheetView>
  </sheetViews>
  <sheetFormatPr baseColWidth="10" defaultColWidth="8.83203125" defaultRowHeight="15"/>
  <cols>
    <col width="28" customWidth="1" style="239" min="1" max="1"/>
    <col width="14" customWidth="1" style="239" min="2" max="11"/>
  </cols>
  <sheetData>
    <row r="1">
      <c r="A1" s="252" t="inlineStr">
        <is>
          <t>Ratios, Break-Even And Checks</t>
        </is>
      </c>
      <c r="B1" s="250" t="n"/>
      <c r="C1" s="250" t="n"/>
      <c r="D1" s="250" t="n"/>
      <c r="E1" s="250" t="n"/>
      <c r="F1" s="250" t="n"/>
      <c r="G1" s="250" t="n"/>
      <c r="H1" s="250" t="n"/>
      <c r="I1" s="250" t="n"/>
      <c r="J1" s="250" t="n"/>
      <c r="K1" s="251" t="n"/>
    </row>
    <row r="2">
      <c r="A2" s="249" t="inlineStr">
        <is>
          <t>Merged ratio, covenant, break-even and model-check review.</t>
        </is>
      </c>
      <c r="B2" s="250" t="n"/>
      <c r="C2" s="250" t="n"/>
      <c r="D2" s="250" t="n"/>
      <c r="E2" s="250" t="n"/>
      <c r="F2" s="250" t="n"/>
      <c r="G2" s="250" t="n"/>
      <c r="H2" s="250" t="n"/>
      <c r="I2" s="250" t="n"/>
      <c r="J2" s="250" t="n"/>
      <c r="K2" s="251" t="n"/>
    </row>
    <row r="3">
      <c r="A3" s="241" t="n"/>
      <c r="B3" s="241" t="n"/>
      <c r="C3" s="241" t="n"/>
      <c r="D3" s="241" t="n"/>
      <c r="E3" s="241" t="n"/>
      <c r="F3" s="241" t="n"/>
      <c r="G3" s="241" t="n"/>
      <c r="H3" s="241" t="n"/>
      <c r="I3" s="241" t="n"/>
      <c r="J3" s="241" t="n"/>
      <c r="K3" s="241" t="n"/>
    </row>
    <row r="4" ht="16" customHeight="1" s="239">
      <c r="A4" s="141" t="inlineStr">
        <is>
          <t>Ratios</t>
        </is>
      </c>
      <c r="B4" s="142" t="n"/>
      <c r="C4" s="142" t="n"/>
      <c r="D4" s="142" t="n"/>
      <c r="E4" s="142" t="n"/>
      <c r="F4" s="142" t="n"/>
      <c r="G4" s="142" t="n"/>
      <c r="H4" s="142" t="n"/>
      <c r="I4" s="142" t="n"/>
      <c r="J4" s="142" t="n"/>
      <c r="K4" s="142" t="n"/>
    </row>
    <row r="5">
      <c r="A5" s="241" t="n"/>
      <c r="B5" s="241" t="n"/>
      <c r="C5" s="241" t="n"/>
      <c r="D5" s="241" t="n"/>
      <c r="E5" s="241" t="n"/>
      <c r="F5" s="241" t="n"/>
      <c r="G5" s="241" t="n"/>
      <c r="H5" s="241" t="n"/>
      <c r="I5" s="241" t="n"/>
      <c r="J5" s="241" t="n"/>
      <c r="K5" s="241" t="n"/>
    </row>
    <row r="6">
      <c r="A6" s="241" t="n"/>
      <c r="B6" s="241" t="n"/>
      <c r="C6" s="241" t="n"/>
      <c r="D6" s="241" t="n"/>
      <c r="E6" s="241" t="n"/>
      <c r="F6" s="241" t="n"/>
      <c r="G6" s="241" t="n"/>
      <c r="H6" s="241" t="n"/>
      <c r="I6" s="241" t="n"/>
      <c r="J6" s="241" t="n"/>
      <c r="K6" s="241" t="n"/>
    </row>
    <row r="7" ht="16" customHeight="1" s="239">
      <c r="A7" s="144" t="inlineStr">
        <is>
          <t>Year</t>
        </is>
      </c>
      <c r="B7" s="150" t="n">
        <v>1</v>
      </c>
      <c r="C7" s="150" t="n">
        <v>2</v>
      </c>
      <c r="D7" s="150" t="n">
        <v>3</v>
      </c>
      <c r="E7" s="150" t="n">
        <v>4</v>
      </c>
      <c r="F7" s="150" t="n">
        <v>5</v>
      </c>
      <c r="G7" s="150" t="n">
        <v>6</v>
      </c>
      <c r="H7" s="150" t="n">
        <v>7</v>
      </c>
      <c r="I7" s="150" t="n">
        <v>8</v>
      </c>
      <c r="J7" s="150" t="n">
        <v>9</v>
      </c>
      <c r="K7" s="150" t="n">
        <v>10</v>
      </c>
    </row>
    <row r="8" ht="16" customHeight="1" s="239">
      <c r="A8" s="146" t="inlineStr">
        <is>
          <t>CFADS</t>
        </is>
      </c>
      <c r="B8" s="140">
        <f>IFERROR(PNL!B22,"")</f>
        <v/>
      </c>
      <c r="C8" s="140">
        <f>IFERROR(PNL!C22,"")</f>
        <v/>
      </c>
      <c r="D8" s="140">
        <f>IFERROR(PNL!D22,"")</f>
        <v/>
      </c>
      <c r="E8" s="140">
        <f>IFERROR(PNL!E22,"")</f>
        <v/>
      </c>
      <c r="F8" s="140">
        <f>IFERROR(PNL!F22,"")</f>
        <v/>
      </c>
      <c r="G8" s="140">
        <f>IFERROR(PNL!G22,"")</f>
        <v/>
      </c>
      <c r="H8" s="140">
        <f>IFERROR(PNL!H22,"")</f>
        <v/>
      </c>
      <c r="I8" s="140">
        <f>IFERROR(PNL!I22,"")</f>
        <v/>
      </c>
      <c r="J8" s="140">
        <f>IFERROR(PNL!J22,"")</f>
        <v/>
      </c>
      <c r="K8" s="140">
        <f>IFERROR(PNL!K22,"")</f>
        <v/>
      </c>
    </row>
    <row r="9" ht="16" customHeight="1" s="239">
      <c r="A9" s="146" t="inlineStr">
        <is>
          <t>Debt_Service</t>
        </is>
      </c>
      <c r="B9" s="140">
        <f>IFERROR(FUNDING_DEBT!G57,"")</f>
        <v/>
      </c>
      <c r="C9" s="140">
        <f>IFERROR(FUNDING_DEBT!G58,"")</f>
        <v/>
      </c>
      <c r="D9" s="140">
        <f>IFERROR(FUNDING_DEBT!G59,"")</f>
        <v/>
      </c>
      <c r="E9" s="140">
        <f>IFERROR(FUNDING_DEBT!G60,"")</f>
        <v/>
      </c>
      <c r="F9" s="140">
        <f>IFERROR(FUNDING_DEBT!G61,"")</f>
        <v/>
      </c>
      <c r="G9" s="140">
        <f>IFERROR(FUNDING_DEBT!G62,"")</f>
        <v/>
      </c>
      <c r="H9" s="140">
        <f>IFERROR(FUNDING_DEBT!G63,"")</f>
        <v/>
      </c>
      <c r="I9" s="140">
        <f>IFERROR(FUNDING_DEBT!G64,"")</f>
        <v/>
      </c>
      <c r="J9" s="140">
        <f>IFERROR(FUNDING_DEBT!G65,"")</f>
        <v/>
      </c>
      <c r="K9" s="140">
        <f>IFERROR(FUNDING_DEBT!G66,"")</f>
        <v/>
      </c>
    </row>
    <row r="10" ht="16" customHeight="1" s="239">
      <c r="A10" s="146" t="inlineStr">
        <is>
          <t>DSCR</t>
        </is>
      </c>
      <c r="B10" s="140">
        <f>IFERROR(IF(B9=0,"",B8/B9),"")</f>
        <v/>
      </c>
      <c r="C10" s="140">
        <f>IFERROR(IF(C9=0,"",C8/C9),"")</f>
        <v/>
      </c>
      <c r="D10" s="140">
        <f>IFERROR(IF(D9=0,"",D8/D9),"")</f>
        <v/>
      </c>
      <c r="E10" s="140">
        <f>IFERROR(IF(E9=0,"",E8/E9),"")</f>
        <v/>
      </c>
      <c r="F10" s="140">
        <f>IFERROR(IF(F9=0,"",F8/F9),"")</f>
        <v/>
      </c>
      <c r="G10" s="140">
        <f>IFERROR(IF(G9=0,"",G8/G9),"")</f>
        <v/>
      </c>
      <c r="H10" s="140">
        <f>IFERROR(IF(H9=0,"",H8/H9),"")</f>
        <v/>
      </c>
      <c r="I10" s="140">
        <f>IFERROR(IF(I9=0,"",I8/I9),"")</f>
        <v/>
      </c>
      <c r="J10" s="140">
        <f>IFERROR(IF(J9=0,"",J8/J9),"")</f>
        <v/>
      </c>
      <c r="K10" s="140">
        <f>IFERROR(IF(K9=0,"",K8/K9),"")</f>
        <v/>
      </c>
    </row>
    <row r="11" ht="16" customHeight="1" s="239">
      <c r="A11" s="146" t="inlineStr">
        <is>
          <t>EBITDA_Margin</t>
        </is>
      </c>
      <c r="B11" s="140">
        <f>IFERROR(IF(PNL!B6=0,"",PNL!B8/PNL!B6),"")</f>
        <v/>
      </c>
      <c r="C11" s="140">
        <f>IFERROR(IF(PNL!C6=0,"",PNL!C8/PNL!C6),"")</f>
        <v/>
      </c>
      <c r="D11" s="140">
        <f>IFERROR(IF(PNL!D6=0,"",PNL!D8/PNL!D6),"")</f>
        <v/>
      </c>
      <c r="E11" s="140">
        <f>IFERROR(IF(PNL!E6=0,"",PNL!E8/PNL!E6),"")</f>
        <v/>
      </c>
      <c r="F11" s="140">
        <f>IFERROR(IF(PNL!F6=0,"",PNL!F8/PNL!F6),"")</f>
        <v/>
      </c>
      <c r="G11" s="140">
        <f>IFERROR(IF(PNL!G6=0,"",PNL!G8/PNL!G6),"")</f>
        <v/>
      </c>
      <c r="H11" s="140">
        <f>IFERROR(IF(PNL!H6=0,"",PNL!H8/PNL!H6),"")</f>
        <v/>
      </c>
      <c r="I11" s="140">
        <f>IFERROR(IF(PNL!I6=0,"",PNL!I8/PNL!I6),"")</f>
        <v/>
      </c>
      <c r="J11" s="140">
        <f>IFERROR(IF(PNL!J6=0,"",PNL!J8/PNL!J6),"")</f>
        <v/>
      </c>
      <c r="K11" s="140">
        <f>IFERROR(IF(PNL!K6=0,"",PNL!K8/PNL!K6),"")</f>
        <v/>
      </c>
    </row>
    <row r="12" ht="16" customHeight="1" s="239">
      <c r="A12" s="146" t="inlineStr">
        <is>
          <t>Interest_Coverage</t>
        </is>
      </c>
      <c r="B12" s="140">
        <f>IFERROR(IF(PNL!B11=0,"",PNL!B10/PNL!B11),"")</f>
        <v/>
      </c>
      <c r="C12" s="140">
        <f>IFERROR(IF(PNL!C11=0,"",PNL!C10/PNL!C11),"")</f>
        <v/>
      </c>
      <c r="D12" s="140">
        <f>IFERROR(IF(PNL!D11=0,"",PNL!D10/PNL!D11),"")</f>
        <v/>
      </c>
      <c r="E12" s="140">
        <f>IFERROR(IF(PNL!E11=0,"",PNL!E10/PNL!E11),"")</f>
        <v/>
      </c>
      <c r="F12" s="140">
        <f>IFERROR(IF(PNL!F11=0,"",PNL!F10/PNL!F11),"")</f>
        <v/>
      </c>
      <c r="G12" s="140">
        <f>IFERROR(IF(PNL!G11=0,"",PNL!G10/PNL!G11),"")</f>
        <v/>
      </c>
      <c r="H12" s="140">
        <f>IFERROR(IF(PNL!H11=0,"",PNL!H10/PNL!H11),"")</f>
        <v/>
      </c>
      <c r="I12" s="140">
        <f>IFERROR(IF(PNL!I11=0,"",PNL!I10/PNL!I11),"")</f>
        <v/>
      </c>
      <c r="J12" s="140">
        <f>IFERROR(IF(PNL!J11=0,"",PNL!J10/PNL!J11),"")</f>
        <v/>
      </c>
      <c r="K12" s="140">
        <f>IFERROR(IF(PNL!K11=0,"",PNL!K10/PNL!K11),"")</f>
        <v/>
      </c>
    </row>
    <row r="13" ht="16" customHeight="1" s="239">
      <c r="A13" s="146" t="inlineStr">
        <is>
          <t>Covenant_Flag</t>
        </is>
      </c>
      <c r="B13" s="140">
        <f>IFERROR(FUNDING_DEBT!K57,"")</f>
        <v/>
      </c>
      <c r="C13" s="140">
        <f>IFERROR(FUNDING_DEBT!K58,"")</f>
        <v/>
      </c>
      <c r="D13" s="140">
        <f>IFERROR(FUNDING_DEBT!K59,"")</f>
        <v/>
      </c>
      <c r="E13" s="140">
        <f>IFERROR(FUNDING_DEBT!K60,"")</f>
        <v/>
      </c>
      <c r="F13" s="140">
        <f>IFERROR(FUNDING_DEBT!K61,"")</f>
        <v/>
      </c>
      <c r="G13" s="140">
        <f>IFERROR(FUNDING_DEBT!K62,"")</f>
        <v/>
      </c>
      <c r="H13" s="140">
        <f>IFERROR(FUNDING_DEBT!K63,"")</f>
        <v/>
      </c>
      <c r="I13" s="140">
        <f>IFERROR(FUNDING_DEBT!K64,"")</f>
        <v/>
      </c>
      <c r="J13" s="140">
        <f>IFERROR(FUNDING_DEBT!K65,"")</f>
        <v/>
      </c>
      <c r="K13" s="140">
        <f>IFERROR(FUNDING_DEBT!K66,"")</f>
        <v/>
      </c>
    </row>
    <row r="14">
      <c r="A14" s="241" t="n"/>
      <c r="B14" s="241" t="n"/>
      <c r="C14" s="241" t="n"/>
      <c r="D14" s="241" t="n"/>
      <c r="E14" s="241" t="n"/>
      <c r="F14" s="241" t="n"/>
      <c r="G14" s="241" t="n"/>
      <c r="H14" s="241" t="n"/>
      <c r="I14" s="241" t="n"/>
      <c r="J14" s="241" t="n"/>
      <c r="K14" s="241" t="n"/>
    </row>
    <row r="15">
      <c r="A15" s="241" t="n"/>
      <c r="B15" s="241" t="n"/>
      <c r="C15" s="241" t="n"/>
      <c r="D15" s="241" t="n"/>
      <c r="E15" s="241" t="n"/>
      <c r="F15" s="241" t="n"/>
      <c r="G15" s="241" t="n"/>
      <c r="H15" s="241" t="n"/>
      <c r="I15" s="241" t="n"/>
      <c r="J15" s="241" t="n"/>
      <c r="K15" s="241" t="n"/>
    </row>
    <row r="16" ht="16" customHeight="1" s="239">
      <c r="A16" s="141" t="inlineStr">
        <is>
          <t>Break-Even</t>
        </is>
      </c>
      <c r="B16" s="142" t="n"/>
      <c r="C16" s="142" t="n"/>
      <c r="D16" s="142" t="n"/>
      <c r="E16" s="142" t="n"/>
      <c r="F16" s="142" t="n"/>
      <c r="G16" s="142" t="n"/>
      <c r="H16" s="142" t="n"/>
      <c r="I16" s="142" t="n"/>
      <c r="J16" s="142" t="n"/>
      <c r="K16" s="142" t="n"/>
    </row>
    <row r="17">
      <c r="A17" s="241" t="n"/>
      <c r="B17" s="241" t="n"/>
      <c r="C17" s="241" t="n"/>
      <c r="D17" s="241" t="n"/>
      <c r="E17" s="241" t="n"/>
      <c r="F17" s="241" t="n"/>
      <c r="G17" s="241" t="n"/>
      <c r="H17" s="241" t="n"/>
      <c r="I17" s="241" t="n"/>
      <c r="J17" s="241" t="n"/>
      <c r="K17" s="241" t="n"/>
    </row>
    <row r="18">
      <c r="A18" s="241" t="n"/>
      <c r="B18" s="241" t="n"/>
      <c r="C18" s="241" t="n"/>
      <c r="D18" s="241" t="n"/>
      <c r="E18" s="241" t="n"/>
      <c r="F18" s="241" t="n"/>
      <c r="G18" s="241" t="n"/>
      <c r="H18" s="241" t="n"/>
      <c r="I18" s="241" t="n"/>
      <c r="J18" s="241" t="n"/>
      <c r="K18" s="241" t="n"/>
    </row>
    <row r="19" ht="16" customHeight="1" s="239">
      <c r="A19" s="144" t="inlineStr">
        <is>
          <t>Year</t>
        </is>
      </c>
      <c r="B19" s="150" t="n">
        <v>1</v>
      </c>
      <c r="C19" s="150" t="n">
        <v>2</v>
      </c>
      <c r="D19" s="150" t="n">
        <v>3</v>
      </c>
      <c r="E19" s="150" t="n">
        <v>4</v>
      </c>
      <c r="F19" s="150" t="n">
        <v>5</v>
      </c>
      <c r="G19" s="150" t="n">
        <v>6</v>
      </c>
      <c r="H19" s="150" t="n">
        <v>7</v>
      </c>
      <c r="I19" s="150" t="n">
        <v>8</v>
      </c>
      <c r="J19" s="150" t="n">
        <v>9</v>
      </c>
      <c r="K19" s="150" t="n">
        <v>10</v>
      </c>
    </row>
    <row r="20" ht="16" customHeight="1" s="239">
      <c r="A20" s="146" t="inlineStr">
        <is>
          <t>Milk Price</t>
        </is>
      </c>
      <c r="B20" s="140">
        <f>IFERROR(BALANCE_SHEET!B21,"")</f>
        <v/>
      </c>
      <c r="C20" s="140">
        <f>IFERROR(BALANCE_SHEET!C21,"")</f>
        <v/>
      </c>
      <c r="D20" s="140">
        <f>IFERROR(BALANCE_SHEET!D21,"")</f>
        <v/>
      </c>
      <c r="E20" s="140">
        <f>IFERROR(BALANCE_SHEET!E21,"")</f>
        <v/>
      </c>
      <c r="F20" s="140">
        <f>IFERROR(BALANCE_SHEET!F21,"")</f>
        <v/>
      </c>
      <c r="G20" s="140">
        <f>IFERROR(BALANCE_SHEET!G21,"")</f>
        <v/>
      </c>
      <c r="H20" s="140">
        <f>IFERROR(BALANCE_SHEET!H21,"")</f>
        <v/>
      </c>
      <c r="I20" s="140">
        <f>IFERROR(BALANCE_SHEET!I21,"")</f>
        <v/>
      </c>
      <c r="J20" s="140">
        <f>IFERROR(BALANCE_SHEET!J21,"")</f>
        <v/>
      </c>
      <c r="K20" s="140">
        <f>IFERROR(BALANCE_SHEET!K21,"")</f>
        <v/>
      </c>
    </row>
    <row r="21" ht="16" customHeight="1" s="239">
      <c r="A21" s="146" t="inlineStr">
        <is>
          <t>Milk Liters</t>
        </is>
      </c>
      <c r="B21" s="140">
        <f>IFERROR(BALANCE_SHEET!B20,"")</f>
        <v/>
      </c>
      <c r="C21" s="140">
        <f>IFERROR(BALANCE_SHEET!C20,"")</f>
        <v/>
      </c>
      <c r="D21" s="140">
        <f>IFERROR(BALANCE_SHEET!D20,"")</f>
        <v/>
      </c>
      <c r="E21" s="140">
        <f>IFERROR(BALANCE_SHEET!E20,"")</f>
        <v/>
      </c>
      <c r="F21" s="140">
        <f>IFERROR(BALANCE_SHEET!F20,"")</f>
        <v/>
      </c>
      <c r="G21" s="140">
        <f>IFERROR(BALANCE_SHEET!G20,"")</f>
        <v/>
      </c>
      <c r="H21" s="140">
        <f>IFERROR(BALANCE_SHEET!H20,"")</f>
        <v/>
      </c>
      <c r="I21" s="140">
        <f>IFERROR(BALANCE_SHEET!I20,"")</f>
        <v/>
      </c>
      <c r="J21" s="140">
        <f>IFERROR(BALANCE_SHEET!J20,"")</f>
        <v/>
      </c>
      <c r="K21" s="140">
        <f>IFERROR(BALANCE_SHEET!K20,"")</f>
        <v/>
      </c>
    </row>
    <row r="22" ht="16" customHeight="1" s="239">
      <c r="A22" s="146" t="inlineStr">
        <is>
          <t>Milk Revenue</t>
        </is>
      </c>
      <c r="B22" s="140">
        <f>IFERROR(B20*B21,"")</f>
        <v/>
      </c>
      <c r="C22" s="140">
        <f>IFERROR(C20*C21,"")</f>
        <v/>
      </c>
      <c r="D22" s="140">
        <f>IFERROR(D20*D21,"")</f>
        <v/>
      </c>
      <c r="E22" s="140">
        <f>IFERROR(E20*E21,"")</f>
        <v/>
      </c>
      <c r="F22" s="140">
        <f>IFERROR(F20*F21,"")</f>
        <v/>
      </c>
      <c r="G22" s="140">
        <f>IFERROR(G20*G21,"")</f>
        <v/>
      </c>
      <c r="H22" s="140">
        <f>IFERROR(H20*H21,"")</f>
        <v/>
      </c>
      <c r="I22" s="140">
        <f>IFERROR(I20*I21,"")</f>
        <v/>
      </c>
      <c r="J22" s="140">
        <f>IFERROR(J20*J21,"")</f>
        <v/>
      </c>
      <c r="K22" s="140">
        <f>IFERROR(K20*K21,"")</f>
        <v/>
      </c>
    </row>
    <row r="23" ht="16" customHeight="1" s="239">
      <c r="A23" s="146" t="inlineStr">
        <is>
          <t>Variable Costs</t>
        </is>
      </c>
      <c r="B23" s="140">
        <f>IFERROR(SUM(OPEX!B4:B5,OPEX!B7:B8),"")</f>
        <v/>
      </c>
      <c r="C23" s="140">
        <f>IFERROR(SUM(OPEX!C4:C5,OPEX!C7:C8),"")</f>
        <v/>
      </c>
      <c r="D23" s="140">
        <f>IFERROR(SUM(OPEX!D4:D5,OPEX!D7:D8),"")</f>
        <v/>
      </c>
      <c r="E23" s="140">
        <f>IFERROR(SUM(OPEX!E4:E5,OPEX!E7:E8),"")</f>
        <v/>
      </c>
      <c r="F23" s="140">
        <f>IFERROR(SUM(OPEX!F4:F5,OPEX!F7:F8),"")</f>
        <v/>
      </c>
      <c r="G23" s="140">
        <f>IFERROR(SUM(OPEX!G4:G5,OPEX!G7:G8),"")</f>
        <v/>
      </c>
      <c r="H23" s="140">
        <f>IFERROR(SUM(OPEX!H4:H5,OPEX!H7:H8),"")</f>
        <v/>
      </c>
      <c r="I23" s="140">
        <f>IFERROR(SUM(OPEX!I4:I5,OPEX!I7:I8),"")</f>
        <v/>
      </c>
      <c r="J23" s="140">
        <f>IFERROR(SUM(OPEX!J4:J5,OPEX!J7:J8),"")</f>
        <v/>
      </c>
      <c r="K23" s="140">
        <f>IFERROR(SUM(OPEX!K4:K5,OPEX!K7:K8),"")</f>
        <v/>
      </c>
    </row>
    <row r="24" ht="16" customHeight="1" s="239">
      <c r="A24" s="146" t="inlineStr">
        <is>
          <t>Variable Cost/L</t>
        </is>
      </c>
      <c r="B24" s="140">
        <f>IFERROR(IF(B21=0,0,B23/B21),"")</f>
        <v/>
      </c>
      <c r="C24" s="140">
        <f>IFERROR(IF(C21=0,0,C23/C21),"")</f>
        <v/>
      </c>
      <c r="D24" s="140">
        <f>IFERROR(IF(D21=0,0,D23/D21),"")</f>
        <v/>
      </c>
      <c r="E24" s="140">
        <f>IFERROR(IF(E21=0,0,E23/E21),"")</f>
        <v/>
      </c>
      <c r="F24" s="140">
        <f>IFERROR(IF(F21=0,0,F23/F21),"")</f>
        <v/>
      </c>
      <c r="G24" s="140">
        <f>IFERROR(IF(G21=0,0,G23/G21),"")</f>
        <v/>
      </c>
      <c r="H24" s="140">
        <f>IFERROR(IF(H21=0,0,H23/H21),"")</f>
        <v/>
      </c>
      <c r="I24" s="140">
        <f>IFERROR(IF(I21=0,0,I23/I21),"")</f>
        <v/>
      </c>
      <c r="J24" s="140">
        <f>IFERROR(IF(J21=0,0,J23/J21),"")</f>
        <v/>
      </c>
      <c r="K24" s="140">
        <f>IFERROR(IF(K21=0,0,K23/K21),"")</f>
        <v/>
      </c>
    </row>
    <row r="25" ht="16" customHeight="1" s="239">
      <c r="A25" s="146" t="inlineStr">
        <is>
          <t>Contribution/L</t>
        </is>
      </c>
      <c r="B25" s="140">
        <f>IFERROR(B20-B24,"")</f>
        <v/>
      </c>
      <c r="C25" s="140">
        <f>IFERROR(C20-C24,"")</f>
        <v/>
      </c>
      <c r="D25" s="140">
        <f>IFERROR(D20-D24,"")</f>
        <v/>
      </c>
      <c r="E25" s="140">
        <f>IFERROR(E20-E24,"")</f>
        <v/>
      </c>
      <c r="F25" s="140">
        <f>IFERROR(F20-F24,"")</f>
        <v/>
      </c>
      <c r="G25" s="140">
        <f>IFERROR(G20-G24,"")</f>
        <v/>
      </c>
      <c r="H25" s="140">
        <f>IFERROR(H20-H24,"")</f>
        <v/>
      </c>
      <c r="I25" s="140">
        <f>IFERROR(I20-I24,"")</f>
        <v/>
      </c>
      <c r="J25" s="140">
        <f>IFERROR(J20-J24,"")</f>
        <v/>
      </c>
      <c r="K25" s="140">
        <f>IFERROR(K20-K24,"")</f>
        <v/>
      </c>
    </row>
    <row r="26" ht="16" customHeight="1" s="239">
      <c r="A26" s="146" t="inlineStr">
        <is>
          <t>Fixed Costs</t>
        </is>
      </c>
      <c r="B26" s="140">
        <f>IFERROR(OPEX!B14-B23,"")</f>
        <v/>
      </c>
      <c r="C26" s="140">
        <f>IFERROR(OPEX!C14-C23,"")</f>
        <v/>
      </c>
      <c r="D26" s="140">
        <f>IFERROR(OPEX!D14-D23,"")</f>
        <v/>
      </c>
      <c r="E26" s="140">
        <f>IFERROR(OPEX!E14-E23,"")</f>
        <v/>
      </c>
      <c r="F26" s="140">
        <f>IFERROR(OPEX!F14-F23,"")</f>
        <v/>
      </c>
      <c r="G26" s="140">
        <f>IFERROR(OPEX!G14-G23,"")</f>
        <v/>
      </c>
      <c r="H26" s="140">
        <f>IFERROR(OPEX!H14-H23,"")</f>
        <v/>
      </c>
      <c r="I26" s="140">
        <f>IFERROR(OPEX!I14-I23,"")</f>
        <v/>
      </c>
      <c r="J26" s="140">
        <f>IFERROR(OPEX!J14-J23,"")</f>
        <v/>
      </c>
      <c r="K26" s="140">
        <f>IFERROR(OPEX!K14-K23,"")</f>
        <v/>
      </c>
    </row>
    <row r="27" ht="16" customHeight="1" s="239">
      <c r="A27" s="146" t="inlineStr">
        <is>
          <t>Break-Even Liters</t>
        </is>
      </c>
      <c r="B27" s="140">
        <f>IFERROR(IF(B25&lt;=0,"",B26/B25),"")</f>
        <v/>
      </c>
      <c r="C27" s="140">
        <f>IFERROR(IF(C25&lt;=0,"",C26/C25),"")</f>
        <v/>
      </c>
      <c r="D27" s="140">
        <f>IFERROR(IF(D25&lt;=0,"",D26/D25),"")</f>
        <v/>
      </c>
      <c r="E27" s="140">
        <f>IFERROR(IF(E25&lt;=0,"",E26/E25),"")</f>
        <v/>
      </c>
      <c r="F27" s="140">
        <f>IFERROR(IF(F25&lt;=0,"",F26/F25),"")</f>
        <v/>
      </c>
      <c r="G27" s="140">
        <f>IFERROR(IF(G25&lt;=0,"",G26/G25),"")</f>
        <v/>
      </c>
      <c r="H27" s="140">
        <f>IFERROR(IF(H25&lt;=0,"",H26/H25),"")</f>
        <v/>
      </c>
      <c r="I27" s="140">
        <f>IFERROR(IF(I25&lt;=0,"",I26/I25),"")</f>
        <v/>
      </c>
      <c r="J27" s="140">
        <f>IFERROR(IF(J25&lt;=0,"",J26/J25),"")</f>
        <v/>
      </c>
      <c r="K27" s="140">
        <f>IFERROR(IF(K25&lt;=0,"",K26/K25),"")</f>
        <v/>
      </c>
    </row>
    <row r="28" ht="16" customHeight="1" s="239">
      <c r="A28" s="146" t="inlineStr">
        <is>
          <t>Margin of Safety</t>
        </is>
      </c>
      <c r="B28" s="140">
        <f>IFERROR(IF(B21=0,"",1-B27/B21),"")</f>
        <v/>
      </c>
      <c r="C28" s="140">
        <f>IFERROR(IF(C21=0,"",1-C27/C21),"")</f>
        <v/>
      </c>
      <c r="D28" s="140">
        <f>IFERROR(IF(D21=0,"",1-D27/D21),"")</f>
        <v/>
      </c>
      <c r="E28" s="140">
        <f>IFERROR(IF(E21=0,"",1-E27/E21),"")</f>
        <v/>
      </c>
      <c r="F28" s="140">
        <f>IFERROR(IF(F21=0,"",1-F27/F21),"")</f>
        <v/>
      </c>
      <c r="G28" s="140">
        <f>IFERROR(IF(G21=0,"",1-G27/G21),"")</f>
        <v/>
      </c>
      <c r="H28" s="140">
        <f>IFERROR(IF(H21=0,"",1-H27/H21),"")</f>
        <v/>
      </c>
      <c r="I28" s="140">
        <f>IFERROR(IF(I21=0,"",1-I27/I21),"")</f>
        <v/>
      </c>
      <c r="J28" s="140">
        <f>IFERROR(IF(J21=0,"",1-J27/J21),"")</f>
        <v/>
      </c>
      <c r="K28" s="140">
        <f>IFERROR(IF(K21=0,"",1-K27/K21),"")</f>
        <v/>
      </c>
    </row>
    <row r="29">
      <c r="A29" s="241" t="n"/>
      <c r="B29" s="241" t="n"/>
      <c r="C29" s="241" t="n"/>
      <c r="D29" s="241" t="n"/>
      <c r="E29" s="241" t="n"/>
      <c r="F29" s="241" t="n"/>
      <c r="G29" s="241" t="n"/>
      <c r="H29" s="241" t="n"/>
      <c r="I29" s="241" t="n"/>
      <c r="J29" s="241" t="n"/>
      <c r="K29" s="241" t="n"/>
    </row>
    <row r="30" ht="20" customHeight="1" s="239">
      <c r="A30" s="192" t="inlineStr">
        <is>
          <t>Note:</t>
        </is>
      </c>
      <c r="B30" s="241" t="n"/>
      <c r="C30" s="241" t="n"/>
      <c r="D30" s="241" t="n"/>
      <c r="E30" s="241" t="n"/>
      <c r="F30" s="241" t="n"/>
      <c r="G30" s="241" t="n"/>
      <c r="H30" s="241" t="n"/>
      <c r="I30" s="241" t="n"/>
      <c r="J30" s="241" t="n"/>
      <c r="K30" s="241" t="n"/>
    </row>
    <row r="31" ht="40" customHeight="1" s="239">
      <c r="A31" s="193" t="inlineStr">
        <is>
          <t>Break‑even is achieved comfortably from Year 2</t>
        </is>
      </c>
      <c r="B31" s="194" t="n"/>
      <c r="C31" s="194" t="n"/>
      <c r="D31" s="194" t="n"/>
      <c r="E31" s="194" t="n"/>
      <c r="F31" s="194" t="n"/>
      <c r="G31" s="194" t="n"/>
      <c r="H31" s="194" t="n"/>
      <c r="I31" s="194" t="n"/>
      <c r="J31" s="241" t="n"/>
      <c r="K31" s="241" t="n"/>
    </row>
    <row r="32" ht="60" customHeight="1" s="239">
      <c r="A32" s="193" t="inlineStr">
        <is>
          <t>From Year 4 onward, break‑even milk is &lt;20% of capacity</t>
        </is>
      </c>
      <c r="B32" s="194" t="n"/>
      <c r="C32" s="194" t="n"/>
      <c r="D32" s="194" t="n"/>
      <c r="E32" s="194" t="n"/>
      <c r="F32" s="194" t="n"/>
      <c r="G32" s="194" t="n"/>
      <c r="H32" s="194" t="n"/>
      <c r="I32" s="194" t="n"/>
      <c r="J32" s="241" t="n"/>
      <c r="K32" s="241" t="n"/>
    </row>
    <row r="33" ht="40" customHeight="1" s="239">
      <c r="A33" s="193" t="inlineStr">
        <is>
          <t>Operational risk is very low by mid‑cycle</t>
        </is>
      </c>
      <c r="B33" s="194" t="n"/>
      <c r="C33" s="194" t="n"/>
      <c r="D33" s="194" t="n"/>
      <c r="E33" s="194" t="n"/>
      <c r="F33" s="194" t="n"/>
      <c r="G33" s="194" t="n"/>
      <c r="H33" s="194" t="n"/>
      <c r="I33" s="194" t="n"/>
      <c r="J33" s="241" t="n"/>
      <c r="K33" s="241" t="n"/>
    </row>
    <row r="34">
      <c r="A34" s="241" t="n"/>
      <c r="B34" s="241" t="n"/>
      <c r="C34" s="241" t="n"/>
      <c r="D34" s="241" t="n"/>
      <c r="E34" s="241" t="n"/>
      <c r="F34" s="241" t="n"/>
      <c r="G34" s="241" t="n"/>
      <c r="H34" s="241" t="n"/>
      <c r="I34" s="241" t="n"/>
      <c r="J34" s="241" t="n"/>
      <c r="K34" s="241" t="n"/>
    </row>
    <row r="35">
      <c r="A35" s="241" t="n"/>
      <c r="B35" s="241" t="n"/>
      <c r="C35" s="241" t="n"/>
      <c r="D35" s="241" t="n"/>
      <c r="E35" s="241" t="n"/>
      <c r="F35" s="241" t="n"/>
      <c r="G35" s="241" t="n"/>
      <c r="H35" s="241" t="n"/>
      <c r="I35" s="241" t="n"/>
      <c r="J35" s="241" t="n"/>
      <c r="K35" s="241" t="n"/>
    </row>
    <row r="36">
      <c r="A36" s="241" t="n"/>
      <c r="B36" s="241" t="n"/>
      <c r="C36" s="241" t="n"/>
      <c r="D36" s="241" t="n"/>
      <c r="E36" s="241" t="n"/>
      <c r="F36" s="241" t="n"/>
      <c r="G36" s="241" t="n"/>
      <c r="H36" s="241" t="n"/>
      <c r="I36" s="241" t="n"/>
      <c r="J36" s="241" t="n"/>
      <c r="K36" s="241" t="n"/>
    </row>
    <row r="37" ht="19" customHeight="1" s="239">
      <c r="A37" s="193" t="n"/>
      <c r="B37" s="194" t="n"/>
      <c r="C37" s="194" t="n"/>
      <c r="D37" s="194" t="n"/>
      <c r="E37" s="194" t="n"/>
      <c r="F37" s="194" t="n"/>
      <c r="G37" s="194" t="n"/>
      <c r="H37" s="194" t="n"/>
      <c r="I37" s="194" t="n"/>
      <c r="J37" s="241" t="n"/>
      <c r="K37" s="241" t="n"/>
    </row>
    <row r="38">
      <c r="A38" s="241" t="n"/>
      <c r="B38" s="241" t="n"/>
      <c r="C38" s="241" t="n"/>
      <c r="D38" s="241" t="n"/>
      <c r="E38" s="241" t="n"/>
      <c r="F38" s="241" t="n"/>
      <c r="G38" s="241" t="n"/>
      <c r="H38" s="241" t="n"/>
      <c r="I38" s="241" t="n"/>
      <c r="J38" s="241" t="n"/>
      <c r="K38" s="241" t="n"/>
    </row>
    <row r="39">
      <c r="A39" s="241" t="n"/>
      <c r="B39" s="241" t="n"/>
      <c r="C39" s="241" t="n"/>
      <c r="D39" s="241" t="n"/>
      <c r="E39" s="241" t="n"/>
      <c r="F39" s="241" t="n"/>
      <c r="G39" s="241" t="n"/>
      <c r="H39" s="241" t="n"/>
      <c r="I39" s="241" t="n"/>
      <c r="J39" s="241" t="n"/>
      <c r="K39" s="241" t="n"/>
    </row>
    <row r="40" ht="16" customHeight="1" s="239">
      <c r="A40" s="141" t="inlineStr">
        <is>
          <t>Model Checks</t>
        </is>
      </c>
      <c r="B40" s="142" t="n"/>
      <c r="C40" s="142" t="n"/>
      <c r="D40" s="241" t="n"/>
      <c r="E40" s="241" t="n"/>
      <c r="F40" s="241" t="n"/>
      <c r="G40" s="241" t="n"/>
      <c r="H40" s="241" t="n"/>
      <c r="I40" s="241" t="n"/>
      <c r="J40" s="241" t="n"/>
      <c r="K40" s="241" t="n"/>
    </row>
    <row r="41">
      <c r="A41" s="241" t="n"/>
      <c r="B41" s="241" t="n"/>
      <c r="C41" s="241" t="n"/>
      <c r="D41" s="241" t="n"/>
      <c r="E41" s="241" t="n"/>
      <c r="F41" s="241" t="n"/>
      <c r="G41" s="241" t="n"/>
      <c r="H41" s="241" t="n"/>
      <c r="I41" s="241" t="n"/>
      <c r="J41" s="241" t="n"/>
      <c r="K41" s="241" t="n"/>
    </row>
    <row r="42" ht="16" customHeight="1" s="239">
      <c r="A42" s="144" t="inlineStr">
        <is>
          <t>Check</t>
        </is>
      </c>
      <c r="B42" s="144" t="inlineStr">
        <is>
          <t>Result</t>
        </is>
      </c>
      <c r="C42" s="144" t="inlineStr">
        <is>
          <t>Notes</t>
        </is>
      </c>
      <c r="D42" s="241" t="n"/>
      <c r="E42" s="241" t="n"/>
      <c r="F42" s="241" t="n"/>
      <c r="G42" s="241" t="n"/>
      <c r="H42" s="241" t="n"/>
      <c r="I42" s="241" t="n"/>
      <c r="J42" s="241" t="n"/>
      <c r="K42" s="241" t="n"/>
    </row>
    <row r="43" ht="64" customHeight="1" s="239">
      <c r="A43" s="146" t="inlineStr">
        <is>
          <t>External links removed</t>
        </is>
      </c>
      <c r="B43" s="140">
        <f>IFERROR("PASS","")</f>
        <v/>
      </c>
      <c r="C43" s="241" t="inlineStr">
        <is>
          <t>Workbook generated without external relationships</t>
        </is>
      </c>
      <c r="D43" s="241" t="n"/>
      <c r="E43" s="241" t="n"/>
      <c r="F43" s="241" t="n"/>
      <c r="G43" s="241" t="n"/>
      <c r="H43" s="241" t="n"/>
      <c r="I43" s="241" t="n"/>
      <c r="J43" s="241" t="n"/>
      <c r="K43" s="241" t="n"/>
    </row>
    <row r="44" ht="48" customHeight="1" s="239">
      <c r="A44" s="146" t="inlineStr">
        <is>
          <t>Prior legacy debt schedule excluded</t>
        </is>
      </c>
      <c r="B44" s="140">
        <f>IFERROR("PASS","")</f>
        <v/>
      </c>
      <c r="C44" s="241" t="inlineStr">
        <is>
          <t>Only DEBT_SCHEDULE is used</t>
        </is>
      </c>
      <c r="D44" s="241" t="n"/>
      <c r="E44" s="241" t="n"/>
      <c r="F44" s="241" t="n"/>
      <c r="G44" s="241" t="n"/>
      <c r="H44" s="241" t="n"/>
      <c r="I44" s="241" t="n"/>
      <c r="J44" s="241" t="n"/>
      <c r="K44" s="241" t="n"/>
    </row>
    <row r="45" ht="16" customHeight="1" s="239">
      <c r="A45" s="146" t="inlineStr">
        <is>
          <t>Balance sheet balances</t>
        </is>
      </c>
      <c r="B45" s="140">
        <f>IFERROR(IF(MAX(ABS(PNL!B48:K48))&lt;1,"PASS","FAIL"),"")</f>
        <v/>
      </c>
      <c r="C45" s="241" t="n"/>
      <c r="D45" s="241" t="n"/>
      <c r="E45" s="241" t="n"/>
      <c r="F45" s="241" t="n"/>
      <c r="G45" s="241" t="n"/>
      <c r="H45" s="241" t="n"/>
      <c r="I45" s="241" t="n"/>
      <c r="J45" s="241" t="n"/>
      <c r="K45" s="241" t="n"/>
    </row>
    <row r="46" ht="16" customHeight="1" s="239">
      <c r="A46" s="146" t="inlineStr">
        <is>
          <t>Debt closes by tenor</t>
        </is>
      </c>
      <c r="B46" s="140">
        <f>IFERROR(IF(ABS(FUNDING_DEBT!I66)&lt;1,"PASS","WARN"),"")</f>
        <v/>
      </c>
      <c r="C46" s="241" t="n"/>
      <c r="D46" s="241" t="n"/>
      <c r="E46" s="241" t="n"/>
      <c r="F46" s="241" t="n"/>
      <c r="G46" s="241" t="n"/>
      <c r="H46" s="241" t="n"/>
      <c r="I46" s="241" t="n"/>
      <c r="J46" s="241" t="n"/>
      <c r="K46" s="241" t="n"/>
    </row>
    <row r="47" ht="16" customHeight="1" s="239">
      <c r="A47" s="146" t="inlineStr">
        <is>
          <t>No negative ending cash</t>
        </is>
      </c>
      <c r="B47" s="140">
        <f>IFERROR(IF(MIN(PNL!B29:K29)&gt;=0,"PASS","WARN"),"")</f>
        <v/>
      </c>
      <c r="C47" s="241" t="n"/>
      <c r="D47" s="241" t="n"/>
      <c r="E47" s="241" t="n"/>
      <c r="F47" s="241" t="n"/>
      <c r="G47" s="241" t="n"/>
      <c r="H47" s="241" t="n"/>
      <c r="I47" s="241" t="n"/>
      <c r="J47" s="241" t="n"/>
      <c r="K47" s="241" t="n"/>
    </row>
    <row r="48" ht="32" customHeight="1" s="239">
      <c r="A48" s="146" t="inlineStr">
        <is>
          <t>Minimum DSCR met while debt outstanding</t>
        </is>
      </c>
      <c r="B48" s="140">
        <f>IFERROR(IF(COUNTIF(FUNDING_DEBT!K57:K66,"BREACH")=0,"PASS","WARN"),"")</f>
        <v/>
      </c>
      <c r="C48" s="241" t="n"/>
      <c r="D48" s="241" t="n"/>
      <c r="E48" s="241" t="n"/>
      <c r="F48" s="241" t="n"/>
      <c r="G48" s="241" t="n"/>
      <c r="H48" s="241" t="n"/>
      <c r="I48" s="241" t="n"/>
      <c r="J48" s="241" t="n"/>
      <c r="K48" s="241" t="n"/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K2"/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107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V1"/>
    </sheetView>
  </sheetViews>
  <sheetFormatPr baseColWidth="10" defaultColWidth="8.83203125" defaultRowHeight="15"/>
  <cols>
    <col width="18" customWidth="1" style="239" min="1" max="1"/>
    <col width="14" customWidth="1" style="239" min="2" max="6"/>
    <col width="22" customWidth="1" style="239" min="7" max="7"/>
    <col width="16" customWidth="1" style="239" min="8" max="14"/>
  </cols>
  <sheetData>
    <row r="1">
      <c r="A1" s="262" t="inlineStr">
        <is>
          <t>Scenarios, Sensitivity And Stress Testing</t>
        </is>
      </c>
      <c r="B1" s="260" t="n"/>
      <c r="C1" s="260" t="n"/>
      <c r="D1" s="260" t="n"/>
      <c r="E1" s="260" t="n"/>
      <c r="F1" s="260" t="n"/>
      <c r="G1" s="260" t="n"/>
      <c r="H1" s="260" t="n"/>
      <c r="I1" s="260" t="n"/>
      <c r="J1" s="260" t="n"/>
      <c r="K1" s="260" t="n"/>
      <c r="L1" s="260" t="n"/>
      <c r="M1" s="260" t="n"/>
      <c r="N1" s="260" t="n"/>
      <c r="O1" s="260" t="n"/>
      <c r="P1" s="260" t="n"/>
      <c r="Q1" s="260" t="n"/>
      <c r="R1" s="260" t="n"/>
      <c r="S1" s="260" t="n"/>
      <c r="T1" s="260" t="n"/>
      <c r="U1" s="260" t="n"/>
      <c r="V1" s="261" t="n"/>
    </row>
    <row r="2">
      <c r="A2" s="259" t="inlineStr">
        <is>
          <t>Base, mild, moderate, severe, and worst-case stress framework with credit metrics.</t>
        </is>
      </c>
      <c r="B2" s="260" t="n"/>
      <c r="C2" s="260" t="n"/>
      <c r="D2" s="260" t="n"/>
      <c r="E2" s="260" t="n"/>
      <c r="F2" s="260" t="n"/>
      <c r="G2" s="260" t="n"/>
      <c r="H2" s="260" t="n"/>
      <c r="I2" s="260" t="n"/>
      <c r="J2" s="260" t="n"/>
      <c r="K2" s="260" t="n"/>
      <c r="L2" s="260" t="n"/>
      <c r="M2" s="260" t="n"/>
      <c r="N2" s="260" t="n"/>
      <c r="O2" s="260" t="n"/>
      <c r="P2" s="260" t="n"/>
      <c r="Q2" s="260" t="n"/>
      <c r="R2" s="260" t="n"/>
      <c r="S2" s="260" t="n"/>
      <c r="T2" s="260" t="n"/>
      <c r="U2" s="260" t="n"/>
      <c r="V2" s="261" t="n"/>
    </row>
    <row r="3">
      <c r="A3" s="198" t="n"/>
      <c r="B3" s="198" t="n"/>
      <c r="C3" s="198" t="n"/>
      <c r="D3" s="198" t="n"/>
      <c r="E3" s="198" t="n"/>
      <c r="F3" s="198" t="n"/>
      <c r="G3" s="198" t="n"/>
      <c r="H3" s="198" t="n"/>
      <c r="I3" s="198" t="n"/>
      <c r="J3" s="198" t="n"/>
      <c r="K3" s="198" t="n"/>
      <c r="L3" s="198" t="n"/>
      <c r="M3" s="198" t="n"/>
      <c r="N3" s="198" t="n"/>
      <c r="O3" s="198" t="n"/>
      <c r="P3" s="198" t="n"/>
      <c r="Q3" s="198" t="n"/>
      <c r="R3" s="198" t="n"/>
      <c r="S3" s="198" t="n"/>
      <c r="T3" s="198" t="n"/>
      <c r="U3" s="198" t="n"/>
      <c r="V3" s="198" t="n"/>
    </row>
    <row r="4" ht="16" customHeight="1" s="239">
      <c r="A4" s="208" t="inlineStr">
        <is>
          <t>Scenario Presets</t>
        </is>
      </c>
      <c r="B4" s="201" t="n"/>
      <c r="C4" s="201" t="n"/>
      <c r="D4" s="201" t="n"/>
      <c r="E4" s="201" t="n"/>
      <c r="F4" s="201" t="n"/>
      <c r="G4" s="201" t="n"/>
      <c r="H4" s="198" t="n"/>
      <c r="I4" s="198" t="n"/>
      <c r="J4" s="198" t="n"/>
      <c r="K4" s="198" t="n"/>
      <c r="L4" s="198" t="n"/>
      <c r="M4" s="198" t="n"/>
      <c r="N4" s="198" t="n"/>
      <c r="O4" s="198" t="n"/>
      <c r="P4" s="198" t="n"/>
      <c r="Q4" s="198" t="n"/>
      <c r="R4" s="198" t="n"/>
      <c r="S4" s="198" t="n"/>
      <c r="T4" s="198" t="n"/>
      <c r="U4" s="198" t="n"/>
      <c r="V4" s="198" t="n"/>
    </row>
    <row r="5" ht="80" customHeight="1" s="239">
      <c r="A5" s="206" t="inlineStr">
        <is>
          <t>Scenario support - edit multipliers here, then optionally link them into assumptions/inputs</t>
        </is>
      </c>
      <c r="B5" s="198" t="n"/>
      <c r="C5" s="198" t="n"/>
      <c r="D5" s="198" t="n"/>
      <c r="E5" s="198" t="n"/>
      <c r="F5" s="198" t="n"/>
      <c r="G5" s="198" t="n"/>
      <c r="H5" s="198" t="n"/>
      <c r="I5" s="198" t="n"/>
      <c r="J5" s="198" t="n"/>
      <c r="K5" s="198" t="n"/>
      <c r="L5" s="198" t="n"/>
      <c r="M5" s="198" t="n"/>
      <c r="N5" s="198" t="n"/>
      <c r="O5" s="198" t="n"/>
      <c r="P5" s="198" t="n"/>
      <c r="Q5" s="198" t="n"/>
      <c r="R5" s="198" t="n"/>
      <c r="S5" s="198" t="n"/>
      <c r="T5" s="198" t="n"/>
      <c r="U5" s="198" t="n"/>
      <c r="V5" s="198" t="n"/>
    </row>
    <row r="6" ht="21" customHeight="1" s="239">
      <c r="A6" s="198" t="n"/>
      <c r="B6" s="209" t="n"/>
      <c r="C6" s="198" t="n"/>
      <c r="D6" s="198" t="n"/>
      <c r="E6" s="198" t="n"/>
      <c r="F6" s="198" t="n"/>
      <c r="G6" s="198" t="n"/>
      <c r="H6" s="198" t="n"/>
      <c r="I6" s="198" t="n"/>
      <c r="J6" s="198" t="n"/>
      <c r="K6" s="198" t="n"/>
      <c r="L6" s="198" t="n"/>
      <c r="M6" s="198" t="n"/>
      <c r="N6" s="198" t="n"/>
      <c r="O6" s="198" t="n"/>
      <c r="P6" s="198" t="n"/>
      <c r="Q6" s="198" t="n"/>
      <c r="R6" s="198" t="n"/>
      <c r="S6" s="198" t="n"/>
      <c r="T6" s="198" t="n"/>
      <c r="U6" s="198" t="n"/>
      <c r="V6" s="198" t="n"/>
    </row>
    <row r="7" ht="16" customHeight="1" s="239">
      <c r="A7" s="206" t="inlineStr">
        <is>
          <t>Scenario</t>
        </is>
      </c>
      <c r="B7" s="206" t="inlineStr">
        <is>
          <t>Milk</t>
        </is>
      </c>
      <c r="C7" s="206" t="inlineStr">
        <is>
          <t>Beef</t>
        </is>
      </c>
      <c r="D7" s="206" t="inlineStr">
        <is>
          <t>Manure</t>
        </is>
      </c>
      <c r="E7" s="206" t="inlineStr">
        <is>
          <t>Feed</t>
        </is>
      </c>
      <c r="F7" s="206" t="inlineStr">
        <is>
          <t>OtherOpex</t>
        </is>
      </c>
      <c r="G7" s="206" t="inlineStr">
        <is>
          <t>Volume</t>
        </is>
      </c>
      <c r="H7" s="198" t="n"/>
      <c r="I7" s="198" t="n"/>
      <c r="J7" s="198" t="n"/>
      <c r="K7" s="198" t="n"/>
      <c r="L7" s="198" t="n"/>
      <c r="M7" s="198" t="n"/>
      <c r="N7" s="198" t="n"/>
      <c r="O7" s="198" t="n"/>
      <c r="P7" s="198" t="n"/>
      <c r="Q7" s="198" t="n"/>
      <c r="R7" s="198" t="n"/>
      <c r="S7" s="198" t="n"/>
      <c r="T7" s="198" t="n"/>
      <c r="U7" s="198" t="n"/>
      <c r="V7" s="198" t="n"/>
    </row>
    <row r="8" ht="16" customHeight="1" s="239">
      <c r="A8" s="198" t="inlineStr">
        <is>
          <t>Base</t>
        </is>
      </c>
      <c r="B8" s="197" t="n">
        <v>1</v>
      </c>
      <c r="C8" s="197" t="n">
        <v>1</v>
      </c>
      <c r="D8" s="197" t="n">
        <v>1</v>
      </c>
      <c r="E8" s="197" t="n">
        <v>1</v>
      </c>
      <c r="F8" s="197" t="n">
        <v>1</v>
      </c>
      <c r="G8" s="197" t="n">
        <v>1</v>
      </c>
      <c r="H8" s="198" t="n"/>
      <c r="I8" s="198" t="n"/>
      <c r="J8" s="198" t="n"/>
      <c r="K8" s="198" t="n"/>
      <c r="L8" s="198" t="n"/>
      <c r="M8" s="198" t="n"/>
      <c r="N8" s="198" t="n"/>
      <c r="O8" s="198" t="n"/>
      <c r="P8" s="198" t="n"/>
      <c r="Q8" s="198" t="n"/>
      <c r="R8" s="198" t="n"/>
      <c r="S8" s="198" t="n"/>
      <c r="T8" s="198" t="n"/>
      <c r="U8" s="198" t="n"/>
      <c r="V8" s="198" t="n"/>
    </row>
    <row r="9" ht="16" customHeight="1" s="239">
      <c r="A9" s="198" t="inlineStr">
        <is>
          <t>Milk -20%</t>
        </is>
      </c>
      <c r="B9" s="197" t="n">
        <v>0.8</v>
      </c>
      <c r="C9" s="197" t="n">
        <v>1</v>
      </c>
      <c r="D9" s="197" t="n">
        <v>1</v>
      </c>
      <c r="E9" s="197" t="n">
        <v>1</v>
      </c>
      <c r="F9" s="197" t="n">
        <v>1</v>
      </c>
      <c r="G9" s="197" t="n">
        <v>1</v>
      </c>
      <c r="H9" s="198" t="n"/>
      <c r="I9" s="198" t="n"/>
      <c r="J9" s="198" t="n"/>
      <c r="K9" s="198" t="n"/>
      <c r="L9" s="198" t="n"/>
      <c r="M9" s="198" t="n"/>
      <c r="N9" s="198" t="n"/>
      <c r="O9" s="198" t="n"/>
      <c r="P9" s="198" t="n"/>
      <c r="Q9" s="198" t="n"/>
      <c r="R9" s="198" t="n"/>
      <c r="S9" s="198" t="n"/>
      <c r="T9" s="198" t="n"/>
      <c r="U9" s="198" t="n"/>
      <c r="V9" s="198" t="n"/>
    </row>
    <row r="10" ht="16" customHeight="1" s="239">
      <c r="A10" s="198" t="inlineStr">
        <is>
          <t>Beef -20%</t>
        </is>
      </c>
      <c r="B10" s="197" t="n">
        <v>1</v>
      </c>
      <c r="C10" s="197" t="n">
        <v>0.8</v>
      </c>
      <c r="D10" s="197" t="n">
        <v>1</v>
      </c>
      <c r="E10" s="197" t="n">
        <v>1</v>
      </c>
      <c r="F10" s="197" t="n">
        <v>1</v>
      </c>
      <c r="G10" s="197" t="n">
        <v>1</v>
      </c>
      <c r="H10" s="198" t="n"/>
      <c r="I10" s="198" t="n"/>
      <c r="J10" s="198" t="n"/>
      <c r="K10" s="198" t="n"/>
      <c r="L10" s="198" t="n"/>
      <c r="M10" s="198" t="n"/>
      <c r="N10" s="198" t="n"/>
      <c r="O10" s="198" t="n"/>
      <c r="P10" s="198" t="n"/>
      <c r="Q10" s="198" t="n"/>
      <c r="R10" s="198" t="n"/>
      <c r="S10" s="198" t="n"/>
      <c r="T10" s="198" t="n"/>
      <c r="U10" s="198" t="n"/>
      <c r="V10" s="198" t="n"/>
    </row>
    <row r="11" ht="16" customHeight="1" s="239">
      <c r="A11" s="199" t="inlineStr">
        <is>
          <t>Feed +20%</t>
        </is>
      </c>
      <c r="B11" s="197" t="n">
        <v>1</v>
      </c>
      <c r="C11" s="197" t="n">
        <v>1</v>
      </c>
      <c r="D11" s="197" t="n">
        <v>1</v>
      </c>
      <c r="E11" s="197" t="n">
        <v>1.2</v>
      </c>
      <c r="F11" s="197" t="n">
        <v>1</v>
      </c>
      <c r="G11" s="197" t="n">
        <v>1</v>
      </c>
      <c r="H11" s="198" t="n"/>
      <c r="I11" s="198" t="n"/>
      <c r="J11" s="198" t="n"/>
      <c r="K11" s="198" t="n"/>
      <c r="L11" s="198" t="n"/>
      <c r="M11" s="198" t="n"/>
      <c r="N11" s="198" t="n"/>
      <c r="O11" s="198" t="n"/>
      <c r="P11" s="198" t="n"/>
      <c r="Q11" s="198" t="n"/>
      <c r="R11" s="198" t="n"/>
      <c r="S11" s="198" t="n"/>
      <c r="T11" s="198" t="n"/>
      <c r="U11" s="198" t="n"/>
      <c r="V11" s="198" t="n"/>
    </row>
    <row r="12" ht="32" customHeight="1" s="239">
      <c r="A12" s="199" t="inlineStr">
        <is>
          <t>Downside: Milk -20% &amp; Feed +20%</t>
        </is>
      </c>
      <c r="B12" s="197" t="n">
        <v>0.8</v>
      </c>
      <c r="C12" s="197" t="n">
        <v>1</v>
      </c>
      <c r="D12" s="197" t="n">
        <v>1</v>
      </c>
      <c r="E12" s="197" t="n">
        <v>1.2</v>
      </c>
      <c r="F12" s="197" t="n">
        <v>1</v>
      </c>
      <c r="G12" s="197" t="n">
        <v>1</v>
      </c>
      <c r="H12" s="198" t="n"/>
      <c r="I12" s="198" t="n"/>
      <c r="J12" s="198" t="n"/>
      <c r="K12" s="198" t="n"/>
      <c r="L12" s="198" t="n"/>
      <c r="M12" s="198" t="n"/>
      <c r="N12" s="198" t="n"/>
      <c r="O12" s="198" t="n"/>
      <c r="P12" s="198" t="n"/>
      <c r="Q12" s="198" t="n"/>
      <c r="R12" s="198" t="n"/>
      <c r="S12" s="198" t="n"/>
      <c r="T12" s="198" t="n"/>
      <c r="U12" s="198" t="n"/>
      <c r="V12" s="198" t="n"/>
    </row>
    <row r="13">
      <c r="A13" s="198" t="n"/>
      <c r="B13" s="198" t="n"/>
      <c r="C13" s="198" t="n"/>
      <c r="D13" s="198" t="n"/>
      <c r="E13" s="198" t="n"/>
      <c r="F13" s="198" t="n"/>
      <c r="G13" s="198" t="n"/>
      <c r="H13" s="198" t="n"/>
      <c r="I13" s="198" t="n"/>
      <c r="J13" s="198" t="n"/>
      <c r="K13" s="198" t="n"/>
      <c r="L13" s="198" t="n"/>
      <c r="M13" s="198" t="n"/>
      <c r="N13" s="198" t="n"/>
      <c r="O13" s="198" t="n"/>
      <c r="P13" s="198" t="n"/>
      <c r="Q13" s="198" t="n"/>
      <c r="R13" s="198" t="n"/>
      <c r="S13" s="198" t="n"/>
      <c r="T13" s="198" t="n"/>
      <c r="U13" s="198" t="n"/>
      <c r="V13" s="198" t="n"/>
    </row>
    <row r="14" ht="34" customHeight="1" s="239">
      <c r="A14" s="199" t="inlineStr">
        <is>
          <t xml:space="preserve">Detailed Scenarios in </t>
        </is>
      </c>
      <c r="B14" s="210" t="inlineStr">
        <is>
          <t>SENSITIVITY dashboard</t>
        </is>
      </c>
      <c r="C14" s="198" t="n"/>
      <c r="D14" s="198" t="n"/>
      <c r="E14" s="198" t="n"/>
      <c r="F14" s="198" t="n"/>
      <c r="G14" s="198" t="n"/>
      <c r="H14" s="198" t="n"/>
      <c r="I14" s="198" t="n"/>
      <c r="J14" s="198" t="n"/>
      <c r="K14" s="198" t="n"/>
      <c r="L14" s="198" t="n"/>
      <c r="M14" s="198" t="n"/>
      <c r="N14" s="198" t="n"/>
      <c r="O14" s="198" t="n"/>
      <c r="P14" s="198" t="n"/>
      <c r="Q14" s="198" t="n"/>
      <c r="R14" s="198" t="n"/>
      <c r="S14" s="198" t="n"/>
      <c r="T14" s="198" t="n"/>
      <c r="U14" s="198" t="n"/>
      <c r="V14" s="198" t="n"/>
    </row>
    <row r="15">
      <c r="A15" s="198" t="n"/>
      <c r="B15" s="198" t="n"/>
      <c r="C15" s="198" t="n"/>
      <c r="D15" s="198" t="n"/>
      <c r="E15" s="198" t="n"/>
      <c r="F15" s="198" t="n"/>
      <c r="G15" s="198" t="n"/>
      <c r="H15" s="198" t="n"/>
      <c r="I15" s="198" t="n"/>
      <c r="J15" s="198" t="n"/>
      <c r="K15" s="198" t="n"/>
      <c r="L15" s="198" t="n"/>
      <c r="M15" s="198" t="n"/>
      <c r="N15" s="198" t="n"/>
      <c r="O15" s="198" t="n"/>
      <c r="P15" s="198" t="n"/>
      <c r="Q15" s="198" t="n"/>
      <c r="R15" s="198" t="n"/>
      <c r="S15" s="198" t="n"/>
      <c r="T15" s="198" t="n"/>
      <c r="U15" s="198" t="n"/>
      <c r="V15" s="198" t="n"/>
    </row>
    <row r="16" ht="21" customHeight="1" s="239">
      <c r="A16" s="198" t="n"/>
      <c r="B16" s="209" t="n"/>
      <c r="C16" s="198" t="n"/>
      <c r="D16" s="198" t="n"/>
      <c r="E16" s="198" t="n"/>
      <c r="F16" s="198" t="n"/>
      <c r="G16" s="198" t="n"/>
      <c r="H16" s="198" t="n"/>
      <c r="I16" s="198" t="n"/>
      <c r="J16" s="198" t="n"/>
      <c r="K16" s="198" t="n"/>
      <c r="L16" s="198" t="n"/>
      <c r="M16" s="198" t="n"/>
      <c r="N16" s="198" t="n"/>
      <c r="O16" s="198" t="n"/>
      <c r="P16" s="198" t="n"/>
      <c r="Q16" s="198" t="n"/>
      <c r="R16" s="198" t="n"/>
      <c r="S16" s="198" t="n"/>
      <c r="T16" s="198" t="n"/>
      <c r="U16" s="198" t="n"/>
      <c r="V16" s="198" t="n"/>
    </row>
    <row r="17">
      <c r="A17" s="198" t="n"/>
      <c r="B17" s="198" t="n"/>
      <c r="C17" s="198" t="n"/>
      <c r="D17" s="198" t="n"/>
      <c r="E17" s="198" t="n"/>
      <c r="F17" s="198" t="n"/>
      <c r="G17" s="198" t="n"/>
      <c r="H17" s="198" t="n"/>
      <c r="I17" s="198" t="n"/>
      <c r="J17" s="198" t="n"/>
      <c r="K17" s="198" t="n"/>
      <c r="L17" s="198" t="n"/>
      <c r="M17" s="198" t="n"/>
      <c r="N17" s="198" t="n"/>
      <c r="O17" s="198" t="n"/>
      <c r="P17" s="198" t="n"/>
      <c r="Q17" s="198" t="n"/>
      <c r="R17" s="198" t="n"/>
      <c r="S17" s="198" t="n"/>
      <c r="T17" s="198" t="n"/>
      <c r="U17" s="198" t="n"/>
      <c r="V17" s="198" t="n"/>
    </row>
    <row r="18">
      <c r="A18" s="198" t="n"/>
      <c r="B18" s="198" t="n"/>
      <c r="C18" s="198" t="n"/>
      <c r="D18" s="198" t="n"/>
      <c r="E18" s="198" t="n"/>
      <c r="F18" s="198" t="n"/>
      <c r="G18" s="198" t="n"/>
      <c r="H18" s="198" t="n"/>
      <c r="I18" s="198" t="n"/>
      <c r="J18" s="198" t="n"/>
      <c r="K18" s="198" t="n"/>
      <c r="L18" s="198" t="n"/>
      <c r="M18" s="198" t="n"/>
      <c r="N18" s="198" t="n"/>
      <c r="O18" s="198" t="n"/>
      <c r="P18" s="198" t="n"/>
      <c r="Q18" s="198" t="n"/>
      <c r="R18" s="198" t="n"/>
      <c r="S18" s="198" t="n"/>
      <c r="T18" s="198" t="n"/>
      <c r="U18" s="198" t="n"/>
      <c r="V18" s="198" t="n"/>
    </row>
    <row r="19" ht="16" customHeight="1" s="239">
      <c r="A19" s="208" t="inlineStr">
        <is>
          <t>Sensitivity Dashboard</t>
        </is>
      </c>
      <c r="B19" s="201" t="n"/>
      <c r="C19" s="201" t="n"/>
      <c r="D19" s="201" t="n"/>
      <c r="E19" s="201" t="n"/>
      <c r="F19" s="201" t="n"/>
      <c r="G19" s="201" t="n"/>
      <c r="H19" s="201" t="n"/>
      <c r="I19" s="201" t="n"/>
      <c r="J19" s="201" t="n"/>
      <c r="K19" s="201" t="n"/>
      <c r="L19" s="201" t="n"/>
      <c r="M19" s="201" t="n"/>
      <c r="N19" s="201" t="n"/>
      <c r="O19" s="201" t="n"/>
      <c r="P19" s="201" t="n"/>
      <c r="Q19" s="201" t="n"/>
      <c r="R19" s="201" t="n"/>
      <c r="S19" s="201" t="n"/>
      <c r="T19" s="201" t="n"/>
      <c r="U19" s="201" t="n"/>
      <c r="V19" s="201" t="n"/>
    </row>
    <row r="20" ht="72" customHeight="1" s="239">
      <c r="A20" s="206" t="inlineStr">
        <is>
          <t>SENSITIVITY DASHBOARD</t>
        </is>
      </c>
      <c r="B20" s="198" t="n"/>
      <c r="C20" s="198" t="n"/>
      <c r="D20" s="198" t="n"/>
      <c r="E20" s="198" t="n"/>
      <c r="F20" s="198" t="n"/>
      <c r="G20" s="198" t="n"/>
      <c r="H20" s="198" t="n"/>
      <c r="I20" s="198" t="n"/>
      <c r="J20" s="198" t="n"/>
      <c r="K20" s="198" t="n"/>
      <c r="L20" s="198" t="n"/>
      <c r="M20" s="211" t="inlineStr">
        <is>
          <t>VISIBLE SCENARIO CHART DASHBOARD</t>
        </is>
      </c>
      <c r="N20" s="198" t="n"/>
      <c r="O20" s="198" t="n"/>
      <c r="P20" s="198" t="n"/>
      <c r="Q20" s="198" t="n"/>
      <c r="R20" s="198" t="n"/>
      <c r="S20" s="198" t="n"/>
      <c r="T20" s="198" t="n"/>
      <c r="U20" s="198" t="n"/>
      <c r="V20" s="198" t="n"/>
    </row>
    <row r="21" ht="112" customHeight="1" s="239">
      <c r="A21" s="198" t="inlineStr">
        <is>
          <t>Editable scenario inputs are in column B. This dashboard does not overwrite the base model sheets.</t>
        </is>
      </c>
      <c r="B21" s="198" t="n"/>
      <c r="C21" s="198" t="n"/>
      <c r="D21" s="198" t="n"/>
      <c r="E21" s="198" t="n"/>
      <c r="F21" s="198" t="n"/>
      <c r="G21" s="198" t="n"/>
      <c r="H21" s="198" t="n"/>
      <c r="I21" s="198" t="n"/>
      <c r="J21" s="198" t="n"/>
      <c r="K21" s="198" t="n"/>
      <c r="L21" s="198" t="n"/>
      <c r="M21" s="198" t="inlineStr">
        <is>
          <t>Chart images below are visible in Excel/LibreOffice. Formula outputs at left still recalculate from the editable scenario inputs.</t>
        </is>
      </c>
      <c r="N21" s="198" t="n"/>
      <c r="O21" s="198" t="n"/>
      <c r="P21" s="198" t="n"/>
      <c r="Q21" s="198" t="n"/>
      <c r="R21" s="198" t="n"/>
      <c r="S21" s="198" t="n"/>
      <c r="T21" s="198" t="n"/>
      <c r="U21" s="198" t="n"/>
      <c r="V21" s="198" t="n"/>
    </row>
    <row r="22">
      <c r="A22" s="198" t="n"/>
      <c r="B22" s="198" t="n"/>
      <c r="C22" s="198" t="n"/>
      <c r="D22" s="198" t="n"/>
      <c r="E22" s="198" t="n"/>
      <c r="F22" s="198" t="n"/>
      <c r="G22" s="198" t="n"/>
      <c r="H22" s="198" t="n"/>
      <c r="I22" s="198" t="n"/>
      <c r="J22" s="198" t="n"/>
      <c r="K22" s="198" t="n"/>
      <c r="L22" s="198" t="n"/>
      <c r="M22" s="198" t="n"/>
      <c r="N22" s="198" t="n"/>
      <c r="O22" s="198" t="n"/>
      <c r="P22" s="198" t="n"/>
      <c r="Q22" s="198" t="n"/>
      <c r="R22" s="198" t="n"/>
      <c r="S22" s="198" t="n"/>
      <c r="T22" s="198" t="n"/>
      <c r="U22" s="198" t="n"/>
      <c r="V22" s="198" t="n"/>
    </row>
    <row r="23" ht="16" customHeight="1" s="239">
      <c r="A23" s="206" t="inlineStr">
        <is>
          <t>Minimum Cash</t>
        </is>
      </c>
      <c r="B23" s="206" t="n"/>
      <c r="C23" s="206" t="inlineStr">
        <is>
          <t>Minimum DSCR</t>
        </is>
      </c>
      <c r="D23" s="206" t="n"/>
      <c r="E23" s="206" t="inlineStr">
        <is>
          <t>Funding Gap</t>
        </is>
      </c>
      <c r="F23" s="206" t="n"/>
      <c r="G23" s="206" t="inlineStr">
        <is>
          <t>Scenario Status</t>
        </is>
      </c>
      <c r="H23" s="206" t="n"/>
      <c r="I23" s="198" t="n"/>
      <c r="J23" s="198" t="n"/>
      <c r="K23" s="198" t="n"/>
      <c r="L23" s="198" t="n"/>
      <c r="M23" s="198" t="n"/>
      <c r="N23" s="198" t="n"/>
      <c r="O23" s="198" t="n"/>
      <c r="P23" s="198" t="n"/>
      <c r="Q23" s="198" t="n"/>
      <c r="R23" s="198" t="n"/>
      <c r="S23" s="198" t="n"/>
      <c r="T23" s="198" t="n"/>
      <c r="U23" s="198" t="n"/>
      <c r="V23" s="198" t="n"/>
    </row>
    <row r="24" ht="16" customHeight="1" s="239">
      <c r="A24" s="212" t="inlineStr">
        <is>
          <t>Result</t>
        </is>
      </c>
      <c r="B24" s="140">
        <f>IFERROR(MIN(B57:K57),"")</f>
        <v/>
      </c>
      <c r="C24" s="212" t="inlineStr">
        <is>
          <t>Result</t>
        </is>
      </c>
      <c r="D24" s="140">
        <f>IFERROR(MIN(B56:K56),"")</f>
        <v/>
      </c>
      <c r="E24" s="212" t="inlineStr">
        <is>
          <t>Result</t>
        </is>
      </c>
      <c r="F24" s="140">
        <f>IFERROR(MAX(0,-MIN(B57:K57)),"")</f>
        <v/>
      </c>
      <c r="G24" s="212" t="inlineStr">
        <is>
          <t>Result</t>
        </is>
      </c>
      <c r="H24" s="140">
        <f>IFERROR(IF(F24&gt;0,"CASH GAP",IF(D24&lt;$B$36,"DSCR WATCH","OK")),"")</f>
        <v/>
      </c>
      <c r="I24" s="198" t="n"/>
      <c r="J24" s="198" t="n"/>
      <c r="K24" s="198" t="n"/>
      <c r="L24" s="198" t="n"/>
      <c r="M24" s="198" t="n"/>
      <c r="N24" s="198" t="n"/>
      <c r="O24" s="198" t="n"/>
      <c r="P24" s="198" t="n"/>
      <c r="Q24" s="198" t="n"/>
      <c r="R24" s="198" t="n"/>
      <c r="S24" s="198" t="n"/>
      <c r="T24" s="198" t="n"/>
      <c r="U24" s="198" t="n"/>
      <c r="V24" s="198" t="n"/>
    </row>
    <row r="25">
      <c r="A25" s="198" t="n"/>
      <c r="B25" s="198" t="n"/>
      <c r="C25" s="198" t="n"/>
      <c r="D25" s="198" t="n"/>
      <c r="E25" s="198" t="n"/>
      <c r="F25" s="198" t="n"/>
      <c r="G25" s="198" t="n"/>
      <c r="H25" s="198" t="n"/>
      <c r="I25" s="198" t="n"/>
      <c r="J25" s="198" t="n"/>
      <c r="K25" s="198" t="n"/>
      <c r="L25" s="198" t="n"/>
      <c r="M25" s="198" t="n"/>
      <c r="N25" s="198" t="n"/>
      <c r="O25" s="198" t="n"/>
      <c r="P25" s="198" t="n"/>
      <c r="Q25" s="198" t="n"/>
      <c r="R25" s="198" t="n"/>
      <c r="S25" s="198" t="n"/>
      <c r="T25" s="198" t="n"/>
      <c r="U25" s="198" t="n"/>
      <c r="V25" s="198" t="n"/>
    </row>
    <row r="26" ht="16" customHeight="1" s="239">
      <c r="A26" s="206" t="inlineStr">
        <is>
          <t>Scenario Input</t>
        </is>
      </c>
      <c r="B26" s="206" t="inlineStr">
        <is>
          <t>Delta / Value</t>
        </is>
      </c>
      <c r="C26" s="206" t="inlineStr">
        <is>
          <t>Base Value</t>
        </is>
      </c>
      <c r="D26" s="206" t="inlineStr">
        <is>
          <t>Scenario Value</t>
        </is>
      </c>
      <c r="E26" s="206" t="inlineStr">
        <is>
          <t>Meaning</t>
        </is>
      </c>
      <c r="F26" s="198" t="n"/>
      <c r="G26" s="198" t="n"/>
      <c r="H26" s="198" t="n"/>
      <c r="I26" s="198" t="n"/>
      <c r="J26" s="198" t="n"/>
      <c r="K26" s="198" t="n"/>
      <c r="L26" s="198" t="n"/>
      <c r="M26" s="198" t="n"/>
      <c r="N26" s="198" t="n"/>
      <c r="O26" s="198" t="n"/>
      <c r="P26" s="198" t="n"/>
      <c r="Q26" s="198" t="n"/>
      <c r="R26" s="198" t="n"/>
      <c r="S26" s="198" t="n"/>
      <c r="T26" s="198" t="n"/>
      <c r="U26" s="198" t="n"/>
      <c r="V26" s="198" t="n"/>
    </row>
    <row r="27" ht="48" customHeight="1" s="239">
      <c r="A27" s="212" t="inlineStr">
        <is>
          <t>Farm gate milk price %</t>
        </is>
      </c>
      <c r="B27" s="213" t="n">
        <v>0</v>
      </c>
      <c r="C27" s="140">
        <f>IFERROR(1000,"")</f>
        <v/>
      </c>
      <c r="D27" s="140">
        <f>IFERROR(C27*(1+B27),"")</f>
        <v/>
      </c>
      <c r="E27" s="198" t="inlineStr">
        <is>
          <t>Applied to Year 1 ₦1,000/L farm-gate milk</t>
        </is>
      </c>
      <c r="F27" s="212" t="inlineStr">
        <is>
          <t>Chilled milk price %</t>
        </is>
      </c>
      <c r="G27" s="213" t="n">
        <v>0</v>
      </c>
      <c r="H27" s="140">
        <f>IFERROR(1200,"")</f>
        <v/>
      </c>
      <c r="I27" s="140">
        <f>IFERROR(H27*(1+G27),"")</f>
        <v/>
      </c>
      <c r="J27" s="198" t="inlineStr">
        <is>
          <t>Years 2-3 ₦1,200/L</t>
        </is>
      </c>
      <c r="K27" s="198" t="n"/>
      <c r="L27" s="198" t="n"/>
      <c r="M27" s="198" t="n"/>
      <c r="N27" s="198" t="n"/>
      <c r="O27" s="198" t="n"/>
      <c r="P27" s="198" t="n"/>
      <c r="Q27" s="198" t="n"/>
      <c r="R27" s="198" t="n"/>
      <c r="S27" s="198" t="n"/>
      <c r="T27" s="198" t="n"/>
      <c r="U27" s="198" t="n"/>
      <c r="V27" s="198" t="n"/>
    </row>
    <row r="28" ht="48" customHeight="1" s="239">
      <c r="A28" s="212" t="inlineStr">
        <is>
          <t>Feed cost change %</t>
        </is>
      </c>
      <c r="B28" s="213" t="n">
        <v>0</v>
      </c>
      <c r="C28" s="140">
        <f>IFERROR(SUM(OPEX!B4:K4),"")</f>
        <v/>
      </c>
      <c r="D28" s="140">
        <f>IFERROR(C28*(1+B28)+B29,"")</f>
        <v/>
      </c>
      <c r="E28" s="198" t="inlineStr">
        <is>
          <t>Applied to Feed Supplements OPEX</t>
        </is>
      </c>
      <c r="F28" s="212" t="inlineStr">
        <is>
          <t>Cold logistics milk price %</t>
        </is>
      </c>
      <c r="G28" s="213" t="n">
        <v>0</v>
      </c>
      <c r="H28" s="140">
        <f>IFERROR(1500,"")</f>
        <v/>
      </c>
      <c r="I28" s="140">
        <f>IFERROR(H28*(1+G28),"")</f>
        <v/>
      </c>
      <c r="J28" s="198" t="inlineStr">
        <is>
          <t>Years 4-5 ₦1,500/L</t>
        </is>
      </c>
      <c r="K28" s="198" t="n"/>
      <c r="L28" s="198" t="n"/>
      <c r="M28" s="198" t="n"/>
      <c r="N28" s="198" t="n"/>
      <c r="O28" s="198" t="n"/>
      <c r="P28" s="198" t="n"/>
      <c r="Q28" s="198" t="n"/>
      <c r="R28" s="198" t="n"/>
      <c r="S28" s="198" t="n"/>
      <c r="T28" s="198" t="n"/>
      <c r="U28" s="198" t="n"/>
      <c r="V28" s="198" t="n"/>
    </row>
    <row r="29" ht="48" customHeight="1" s="239">
      <c r="A29" s="212" t="inlineStr">
        <is>
          <t>Extra feed cost / year</t>
        </is>
      </c>
      <c r="B29" s="213" t="n">
        <v>0</v>
      </c>
      <c r="C29" s="140">
        <f>IFERROR(0,"")</f>
        <v/>
      </c>
      <c r="D29" s="140">
        <f>IFERROR(B29,"")</f>
        <v/>
      </c>
      <c r="E29" s="198" t="inlineStr">
        <is>
          <t>Absolute NGN addition to each year</t>
        </is>
      </c>
      <c r="F29" s="212" t="inlineStr">
        <is>
          <t>Processed milk price %</t>
        </is>
      </c>
      <c r="G29" s="213" t="n">
        <v>0</v>
      </c>
      <c r="H29" s="140">
        <f>IFERROR(3000,"")</f>
        <v/>
      </c>
      <c r="I29" s="140">
        <f>IFERROR(H29*(1+G29),"")</f>
        <v/>
      </c>
      <c r="J29" s="198" t="inlineStr">
        <is>
          <t>Years 6-10 ₦3,000/L</t>
        </is>
      </c>
      <c r="K29" s="198" t="n"/>
      <c r="L29" s="198" t="n"/>
      <c r="M29" s="198" t="n"/>
      <c r="N29" s="198" t="n"/>
      <c r="O29" s="198" t="n"/>
      <c r="P29" s="198" t="n"/>
      <c r="Q29" s="198" t="n"/>
      <c r="R29" s="198" t="n"/>
      <c r="S29" s="198" t="n"/>
      <c r="T29" s="198" t="n"/>
      <c r="U29" s="198" t="n"/>
      <c r="V29" s="198" t="n"/>
    </row>
    <row r="30" ht="48" customHeight="1" s="239">
      <c r="A30" s="212" t="inlineStr">
        <is>
          <t>Production volume change %</t>
        </is>
      </c>
      <c r="B30" s="213" t="n">
        <v>0</v>
      </c>
      <c r="C30" s="140">
        <f>IFERROR(BALANCE_SHEET!E15,"")</f>
        <v/>
      </c>
      <c r="D30" s="140">
        <f>IFERROR(C30*(1+B30),"")</f>
        <v/>
      </c>
      <c r="E30" s="198" t="inlineStr">
        <is>
          <t>Applied to milk, beef, manure, crop volumes</t>
        </is>
      </c>
      <c r="F30" s="198" t="n"/>
      <c r="G30" s="198" t="n"/>
      <c r="H30" s="198" t="n"/>
      <c r="I30" s="198" t="n"/>
      <c r="J30" s="198" t="n"/>
      <c r="K30" s="198" t="n"/>
      <c r="L30" s="198" t="n"/>
      <c r="M30" s="198" t="n"/>
      <c r="N30" s="198" t="n"/>
      <c r="O30" s="198" t="n"/>
      <c r="P30" s="198" t="n"/>
      <c r="Q30" s="198" t="n"/>
      <c r="R30" s="198" t="n"/>
      <c r="S30" s="198" t="n"/>
      <c r="T30" s="198" t="n"/>
      <c r="U30" s="198" t="n"/>
      <c r="V30" s="198" t="n"/>
    </row>
    <row r="31" ht="32" customHeight="1" s="239">
      <c r="A31" s="212" t="inlineStr">
        <is>
          <t>Other OPEX change %</t>
        </is>
      </c>
      <c r="B31" s="213" t="n">
        <v>0</v>
      </c>
      <c r="C31" s="140">
        <f>IFERROR(SUM(OPEX!B14:K14)-SUM(OPEX!B4:K4),"")</f>
        <v/>
      </c>
      <c r="D31" s="140">
        <f>IFERROR(C31*(1+B31),"")</f>
        <v/>
      </c>
      <c r="E31" s="198" t="inlineStr">
        <is>
          <t>Applied to non-feed OPEX</t>
        </is>
      </c>
      <c r="F31" s="198" t="n"/>
      <c r="G31" s="198" t="n"/>
      <c r="H31" s="198" t="n"/>
      <c r="I31" s="198" t="n"/>
      <c r="J31" s="198" t="n"/>
      <c r="K31" s="198" t="n"/>
      <c r="L31" s="198" t="n"/>
      <c r="M31" s="198" t="n"/>
      <c r="N31" s="198" t="n"/>
      <c r="O31" s="198" t="n"/>
      <c r="P31" s="198" t="n"/>
      <c r="Q31" s="198" t="n"/>
      <c r="R31" s="198" t="n"/>
      <c r="S31" s="198" t="n"/>
      <c r="T31" s="198" t="n"/>
      <c r="U31" s="198" t="n"/>
      <c r="V31" s="198" t="n"/>
    </row>
    <row r="32" ht="48" customHeight="1" s="239">
      <c r="A32" s="212" t="inlineStr">
        <is>
          <t>CAPEX overrun %</t>
        </is>
      </c>
      <c r="B32" s="213" t="n">
        <v>0</v>
      </c>
      <c r="C32" s="140">
        <f>IFERROR(SUM(CAPEX!D$11:M422),"")</f>
        <v/>
      </c>
      <c r="D32" s="140">
        <f>IFERROR(C32*(1+B32),"")</f>
        <v/>
      </c>
      <c r="E32" s="198" t="inlineStr">
        <is>
          <t>Applied to cash CAPEX and depreciation</t>
        </is>
      </c>
      <c r="F32" s="198" t="n"/>
      <c r="G32" s="198" t="n"/>
      <c r="H32" s="198" t="n"/>
      <c r="I32" s="198" t="n"/>
      <c r="J32" s="198" t="n"/>
      <c r="K32" s="198" t="n"/>
      <c r="L32" s="198" t="n"/>
      <c r="M32" s="198" t="n"/>
      <c r="N32" s="198" t="n"/>
      <c r="O32" s="198" t="n"/>
      <c r="P32" s="198" t="n"/>
      <c r="Q32" s="198" t="n"/>
      <c r="R32" s="198" t="n"/>
      <c r="S32" s="198" t="n"/>
      <c r="T32" s="198" t="n"/>
      <c r="U32" s="198" t="n"/>
      <c r="V32" s="198" t="n"/>
    </row>
    <row r="33" ht="32" customHeight="1" s="239">
      <c r="A33" s="212" t="inlineStr">
        <is>
          <t>Interest rate shock bps</t>
        </is>
      </c>
      <c r="B33" s="213" t="n">
        <v>0</v>
      </c>
      <c r="C33" s="140">
        <f>IFERROR(ASSUMPTIONS!B6,"")</f>
        <v/>
      </c>
      <c r="D33" s="140">
        <f>IFERROR(C33+B33/10000,"")</f>
        <v/>
      </c>
      <c r="E33" s="198" t="inlineStr">
        <is>
          <t>100 bps = 1.00 percentage point</t>
        </is>
      </c>
      <c r="F33" s="198" t="n"/>
      <c r="G33" s="198" t="n"/>
      <c r="H33" s="198" t="n"/>
      <c r="I33" s="198" t="n"/>
      <c r="J33" s="198" t="n"/>
      <c r="K33" s="198" t="n"/>
      <c r="L33" s="198" t="n"/>
      <c r="M33" s="198" t="n"/>
      <c r="N33" s="198" t="n"/>
      <c r="O33" s="198" t="n"/>
      <c r="P33" s="198" t="n"/>
      <c r="Q33" s="198" t="n"/>
      <c r="R33" s="198" t="n"/>
      <c r="S33" s="198" t="n"/>
      <c r="T33" s="198" t="n"/>
      <c r="U33" s="198" t="n"/>
      <c r="V33" s="198" t="n"/>
    </row>
    <row r="34" ht="32" customHeight="1" s="239">
      <c r="A34" s="212" t="inlineStr">
        <is>
          <t>AR days</t>
        </is>
      </c>
      <c r="B34" s="213" t="n">
        <v>30</v>
      </c>
      <c r="C34" s="140">
        <f>IFERROR(ASSUMPTIONS!B13,"")</f>
        <v/>
      </c>
      <c r="D34" s="140">
        <f>IFERROR(B34,"")</f>
        <v/>
      </c>
      <c r="E34" s="198" t="inlineStr">
        <is>
          <t>Scenario receivables days</t>
        </is>
      </c>
      <c r="F34" s="198" t="n"/>
      <c r="G34" s="198" t="n"/>
      <c r="H34" s="198" t="n"/>
      <c r="I34" s="198" t="n"/>
      <c r="J34" s="198" t="n"/>
      <c r="K34" s="198" t="n"/>
      <c r="L34" s="198" t="n"/>
      <c r="M34" s="198" t="n"/>
      <c r="N34" s="198" t="n"/>
      <c r="O34" s="198" t="n"/>
      <c r="P34" s="198" t="n"/>
      <c r="Q34" s="198" t="n"/>
      <c r="R34" s="198" t="n"/>
      <c r="S34" s="198" t="n"/>
      <c r="T34" s="198" t="n"/>
      <c r="U34" s="198" t="n"/>
      <c r="V34" s="198" t="n"/>
    </row>
    <row r="35" ht="48" customHeight="1" s="239">
      <c r="A35" s="212" t="inlineStr">
        <is>
          <t>Production ramp delay years</t>
        </is>
      </c>
      <c r="B35" s="213" t="n">
        <v>0</v>
      </c>
      <c r="C35" s="140">
        <f>IFERROR(0,"")</f>
        <v/>
      </c>
      <c r="D35" s="140">
        <f>IFERROR(B35,"")</f>
        <v/>
      </c>
      <c r="E35" s="198" t="inlineStr">
        <is>
          <t>0, 1, or 2 years. Volumes shift later.</t>
        </is>
      </c>
      <c r="F35" s="198" t="n"/>
      <c r="G35" s="198" t="n"/>
      <c r="H35" s="198" t="n"/>
      <c r="I35" s="198" t="n"/>
      <c r="J35" s="198" t="n"/>
      <c r="K35" s="198" t="n"/>
      <c r="L35" s="198" t="n"/>
      <c r="M35" s="198" t="n"/>
      <c r="N35" s="198" t="n"/>
      <c r="O35" s="198" t="n"/>
      <c r="P35" s="198" t="n"/>
      <c r="Q35" s="198" t="n"/>
      <c r="R35" s="198" t="n"/>
      <c r="S35" s="198" t="n"/>
      <c r="T35" s="198" t="n"/>
      <c r="U35" s="198" t="n"/>
      <c r="V35" s="198" t="n"/>
    </row>
    <row r="36" ht="32" customHeight="1" s="239">
      <c r="A36" s="212" t="inlineStr">
        <is>
          <t>Minimum DSCR</t>
        </is>
      </c>
      <c r="B36" s="213" t="n">
        <v>1.2</v>
      </c>
      <c r="C36" s="140">
        <f>IFERROR(ASSUMPTIONS!B16,"")</f>
        <v/>
      </c>
      <c r="D36" s="140">
        <f>IFERROR(B36,"")</f>
        <v/>
      </c>
      <c r="E36" s="198" t="inlineStr">
        <is>
          <t>Covenant test floor</t>
        </is>
      </c>
      <c r="F36" s="198" t="n"/>
      <c r="G36" s="198" t="n"/>
      <c r="H36" s="198" t="n"/>
      <c r="I36" s="198" t="n"/>
      <c r="J36" s="198" t="n"/>
      <c r="K36" s="198" t="n"/>
      <c r="L36" s="198" t="n"/>
      <c r="M36" s="198" t="n"/>
      <c r="N36" s="198" t="n"/>
      <c r="O36" s="198" t="n"/>
      <c r="P36" s="198" t="n"/>
      <c r="Q36" s="198" t="n"/>
      <c r="R36" s="198" t="n"/>
      <c r="S36" s="198" t="n"/>
      <c r="T36" s="198" t="n"/>
      <c r="U36" s="198" t="n"/>
      <c r="V36" s="198" t="n"/>
    </row>
    <row r="37">
      <c r="A37" s="198" t="n"/>
      <c r="B37" s="198" t="n"/>
      <c r="C37" s="198" t="n"/>
      <c r="D37" s="198" t="n"/>
      <c r="E37" s="198" t="n"/>
      <c r="F37" s="198" t="n"/>
      <c r="G37" s="198" t="n"/>
      <c r="H37" s="198" t="n"/>
      <c r="I37" s="198" t="n"/>
      <c r="J37" s="198" t="n"/>
      <c r="K37" s="198" t="n"/>
      <c r="L37" s="198" t="n"/>
      <c r="M37" s="198" t="n"/>
      <c r="N37" s="198" t="n"/>
      <c r="O37" s="198" t="n"/>
      <c r="P37" s="198" t="n"/>
      <c r="Q37" s="198" t="n"/>
      <c r="R37" s="198" t="n"/>
      <c r="S37" s="198" t="n"/>
      <c r="T37" s="198" t="n"/>
      <c r="U37" s="198" t="n"/>
      <c r="V37" s="198" t="n"/>
    </row>
    <row r="38">
      <c r="A38" s="198" t="n"/>
      <c r="B38" s="198" t="n"/>
      <c r="C38" s="198" t="n"/>
      <c r="D38" s="198" t="n"/>
      <c r="E38" s="198" t="n"/>
      <c r="F38" s="198" t="n"/>
      <c r="G38" s="198" t="n"/>
      <c r="H38" s="198" t="n"/>
      <c r="I38" s="198" t="n"/>
      <c r="J38" s="198" t="n"/>
      <c r="K38" s="198" t="n"/>
      <c r="L38" s="198" t="n"/>
      <c r="M38" s="198" t="n"/>
      <c r="N38" s="198" t="n"/>
      <c r="O38" s="198" t="n"/>
      <c r="P38" s="198" t="n"/>
      <c r="Q38" s="198" t="n"/>
      <c r="R38" s="198" t="n"/>
      <c r="S38" s="198" t="n"/>
      <c r="T38" s="198" t="n"/>
      <c r="U38" s="198" t="n"/>
      <c r="V38" s="198" t="n"/>
    </row>
    <row r="39" ht="16" customHeight="1" s="239">
      <c r="A39" s="206" t="inlineStr">
        <is>
          <t>Output</t>
        </is>
      </c>
      <c r="B39" s="200" t="n">
        <v>1</v>
      </c>
      <c r="C39" s="200" t="n">
        <v>2</v>
      </c>
      <c r="D39" s="200" t="n">
        <v>3</v>
      </c>
      <c r="E39" s="200" t="n">
        <v>4</v>
      </c>
      <c r="F39" s="200" t="n">
        <v>5</v>
      </c>
      <c r="G39" s="200" t="n">
        <v>6</v>
      </c>
      <c r="H39" s="200" t="n">
        <v>7</v>
      </c>
      <c r="I39" s="200" t="n">
        <v>8</v>
      </c>
      <c r="J39" s="200" t="n">
        <v>9</v>
      </c>
      <c r="K39" s="200" t="n">
        <v>10</v>
      </c>
      <c r="L39" s="198" t="n"/>
      <c r="M39" s="198" t="n"/>
      <c r="N39" s="198" t="n"/>
      <c r="O39" s="198" t="n"/>
      <c r="P39" s="198" t="n"/>
      <c r="Q39" s="198" t="n"/>
      <c r="R39" s="198" t="n"/>
      <c r="S39" s="198" t="n"/>
      <c r="T39" s="198" t="n"/>
      <c r="U39" s="198" t="n"/>
      <c r="V39" s="198" t="n"/>
    </row>
    <row r="40" ht="16" customHeight="1" s="239">
      <c r="A40" s="212" t="inlineStr">
        <is>
          <t>Base Revenue</t>
        </is>
      </c>
      <c r="B40" s="140">
        <f>IFERROR(BALANCE_SHEET!B$36,"")</f>
        <v/>
      </c>
      <c r="C40" s="140">
        <f>IFERROR(BALANCE_SHEET!C$36,"")</f>
        <v/>
      </c>
      <c r="D40" s="140">
        <f>IFERROR(BALANCE_SHEET!D$36,"")</f>
        <v/>
      </c>
      <c r="E40" s="140">
        <f>IFERROR(BALANCE_SHEET!E$36,"")</f>
        <v/>
      </c>
      <c r="F40" s="140">
        <f>IFERROR(BALANCE_SHEET!F$36,"")</f>
        <v/>
      </c>
      <c r="G40" s="140">
        <f>IFERROR(BALANCE_SHEET!G$36,"")</f>
        <v/>
      </c>
      <c r="H40" s="140">
        <f>IFERROR(BALANCE_SHEET!H$36,"")</f>
        <v/>
      </c>
      <c r="I40" s="140">
        <f>IFERROR(BALANCE_SHEET!I$36,"")</f>
        <v/>
      </c>
      <c r="J40" s="140">
        <f>IFERROR(BALANCE_SHEET!J$36,"")</f>
        <v/>
      </c>
      <c r="K40" s="140">
        <f>IFERROR(BALANCE_SHEET!K$36,"")</f>
        <v/>
      </c>
      <c r="L40" s="198" t="n"/>
      <c r="M40" s="198" t="n"/>
      <c r="N40" s="198" t="n"/>
      <c r="O40" s="198" t="n"/>
      <c r="P40" s="198" t="n"/>
      <c r="Q40" s="198" t="n"/>
      <c r="R40" s="198" t="n"/>
      <c r="S40" s="198" t="n"/>
      <c r="T40" s="198" t="n"/>
      <c r="U40" s="198" t="n"/>
      <c r="V40" s="198" t="n"/>
    </row>
    <row r="41" ht="16" customHeight="1" s="239">
      <c r="A41" s="212" t="inlineStr">
        <is>
          <t>Scenario Revenue</t>
        </is>
      </c>
      <c r="B41" s="140">
        <f>IFERROR(BALANCE_SHEET!B$36*(1+$B$30)*(1+$B$27),"")</f>
        <v/>
      </c>
      <c r="C41" s="140">
        <f>IFERROR(BALANCE_SHEET!C$36*(1+$B$30)*(1+$B$27),"")</f>
        <v/>
      </c>
      <c r="D41" s="140">
        <f>IFERROR(BALANCE_SHEET!D$36*(1+$B$30)*(1+$B$27),"")</f>
        <v/>
      </c>
      <c r="E41" s="140">
        <f>IFERROR(BALANCE_SHEET!E$36*(1+$B$30)*(1+$B$27),"")</f>
        <v/>
      </c>
      <c r="F41" s="140">
        <f>IFERROR(BALANCE_SHEET!F$36*(1+$B$30)*(1+$B$27),"")</f>
        <v/>
      </c>
      <c r="G41" s="140">
        <f>IFERROR(BALANCE_SHEET!G$36*(1+$B$30)*(1+$B$27),"")</f>
        <v/>
      </c>
      <c r="H41" s="140">
        <f>IFERROR(BALANCE_SHEET!H$36*(1+$B$30)*(1+$B$27),"")</f>
        <v/>
      </c>
      <c r="I41" s="140">
        <f>IFERROR(BALANCE_SHEET!I$36*(1+$B$30)*(1+$B$27),"")</f>
        <v/>
      </c>
      <c r="J41" s="140">
        <f>IFERROR(BALANCE_SHEET!J$36*(1+$B$30)*(1+$B$27),"")</f>
        <v/>
      </c>
      <c r="K41" s="140">
        <f>IFERROR(BALANCE_SHEET!K$36*(1+$B$30)*(1+$B$27),"")</f>
        <v/>
      </c>
      <c r="L41" s="198" t="n"/>
      <c r="M41" s="198" t="n"/>
      <c r="N41" s="198" t="n"/>
      <c r="O41" s="198" t="n"/>
      <c r="P41" s="198" t="n"/>
      <c r="Q41" s="198" t="n"/>
      <c r="R41" s="198" t="n"/>
      <c r="S41" s="198" t="n"/>
      <c r="T41" s="198" t="n"/>
      <c r="U41" s="198" t="n"/>
      <c r="V41" s="198" t="n"/>
    </row>
    <row r="42" ht="16" customHeight="1" s="239">
      <c r="A42" s="212" t="inlineStr">
        <is>
          <t>Base EBITDA</t>
        </is>
      </c>
      <c r="B42" s="140">
        <f>IFERROR(PNL!B$8,"")</f>
        <v/>
      </c>
      <c r="C42" s="140">
        <f>IFERROR(PNL!C$8,"")</f>
        <v/>
      </c>
      <c r="D42" s="140">
        <f>IFERROR(PNL!D$8,"")</f>
        <v/>
      </c>
      <c r="E42" s="140">
        <f>IFERROR(PNL!E$8,"")</f>
        <v/>
      </c>
      <c r="F42" s="140">
        <f>IFERROR(PNL!F$8,"")</f>
        <v/>
      </c>
      <c r="G42" s="140">
        <f>IFERROR(PNL!G$8,"")</f>
        <v/>
      </c>
      <c r="H42" s="140">
        <f>IFERROR(PNL!H$8,"")</f>
        <v/>
      </c>
      <c r="I42" s="140">
        <f>IFERROR(PNL!I$8,"")</f>
        <v/>
      </c>
      <c r="J42" s="140">
        <f>IFERROR(PNL!J$8,"")</f>
        <v/>
      </c>
      <c r="K42" s="140">
        <f>IFERROR(PNL!K$8,"")</f>
        <v/>
      </c>
      <c r="L42" s="198" t="n"/>
      <c r="M42" s="198" t="n"/>
      <c r="N42" s="198" t="n"/>
      <c r="O42" s="198" t="n"/>
      <c r="P42" s="198" t="n"/>
      <c r="Q42" s="198" t="n"/>
      <c r="R42" s="198" t="n"/>
      <c r="S42" s="198" t="n"/>
      <c r="T42" s="198" t="n"/>
      <c r="U42" s="198" t="n"/>
      <c r="V42" s="198" t="n"/>
    </row>
    <row r="43" ht="16" customHeight="1" s="239">
      <c r="A43" s="212" t="inlineStr">
        <is>
          <t>Scenario OPEX</t>
        </is>
      </c>
      <c r="B43" s="140">
        <f>IFERROR(OPEX!B$4*(1+$B$28)+$B$29+(OPEX!B$14-OPEX!B$4)*(1+$B$31),"")</f>
        <v/>
      </c>
      <c r="C43" s="140">
        <f>IFERROR(OPEX!C$4*(1+$B$28)+$B$29+(OPEX!C$14-OPEX!C$4)*(1+$B$31),"")</f>
        <v/>
      </c>
      <c r="D43" s="140">
        <f>IFERROR(OPEX!D$4*(1+$B$28)+$B$29+(OPEX!D$14-OPEX!D$4)*(1+$B$31),"")</f>
        <v/>
      </c>
      <c r="E43" s="140">
        <f>IFERROR(OPEX!E$4*(1+$B$28)+$B$29+(OPEX!E$14-OPEX!E$4)*(1+$B$31),"")</f>
        <v/>
      </c>
      <c r="F43" s="140">
        <f>IFERROR(OPEX!F$4*(1+$B$28)+$B$29+(OPEX!F$14-OPEX!F$4)*(1+$B$31),"")</f>
        <v/>
      </c>
      <c r="G43" s="140">
        <f>IFERROR(OPEX!G$4*(1+$B$28)+$B$29+(OPEX!G$14-OPEX!G$4)*(1+$B$31),"")</f>
        <v/>
      </c>
      <c r="H43" s="140">
        <f>IFERROR(OPEX!H$4*(1+$B$28)+$B$29+(OPEX!H$14-OPEX!H$4)*(1+$B$31),"")</f>
        <v/>
      </c>
      <c r="I43" s="140">
        <f>IFERROR(OPEX!I$4*(1+$B$28)+$B$29+(OPEX!I$14-OPEX!I$4)*(1+$B$31),"")</f>
        <v/>
      </c>
      <c r="J43" s="140">
        <f>IFERROR(OPEX!J$4*(1+$B$28)+$B$29+(OPEX!J$14-OPEX!J$4)*(1+$B$31),"")</f>
        <v/>
      </c>
      <c r="K43" s="140">
        <f>IFERROR(OPEX!K$4*(1+$B$28)+$B$29+(OPEX!K$14-OPEX!K$4)*(1+$B$31),"")</f>
        <v/>
      </c>
      <c r="L43" s="198" t="n"/>
      <c r="M43" s="198" t="n"/>
      <c r="N43" s="198" t="n"/>
      <c r="O43" s="198" t="n"/>
      <c r="P43" s="198" t="n"/>
      <c r="Q43" s="198" t="n"/>
      <c r="R43" s="198" t="n"/>
      <c r="S43" s="198" t="n"/>
      <c r="T43" s="198" t="n"/>
      <c r="U43" s="198" t="n"/>
      <c r="V43" s="198" t="n"/>
    </row>
    <row r="44" ht="16" customHeight="1" s="239">
      <c r="A44" s="212" t="inlineStr">
        <is>
          <t>Scenario EBITDA</t>
        </is>
      </c>
      <c r="B44" s="140">
        <f>IFERROR(B41-B43,"")</f>
        <v/>
      </c>
      <c r="C44" s="140">
        <f>IFERROR(C41-C43,"")</f>
        <v/>
      </c>
      <c r="D44" s="140">
        <f>IFERROR(D41-D43,"")</f>
        <v/>
      </c>
      <c r="E44" s="140">
        <f>IFERROR(E41-E43,"")</f>
        <v/>
      </c>
      <c r="F44" s="140">
        <f>IFERROR(F41-F43,"")</f>
        <v/>
      </c>
      <c r="G44" s="140">
        <f>IFERROR(G41-G43,"")</f>
        <v/>
      </c>
      <c r="H44" s="140">
        <f>IFERROR(H41-H43,"")</f>
        <v/>
      </c>
      <c r="I44" s="140">
        <f>IFERROR(I41-I43,"")</f>
        <v/>
      </c>
      <c r="J44" s="140">
        <f>IFERROR(J41-J43,"")</f>
        <v/>
      </c>
      <c r="K44" s="140">
        <f>IFERROR(K41-K43,"")</f>
        <v/>
      </c>
      <c r="L44" s="198" t="n"/>
      <c r="M44" s="198" t="n"/>
      <c r="N44" s="198" t="n"/>
      <c r="O44" s="198" t="n"/>
      <c r="P44" s="198" t="n"/>
      <c r="Q44" s="198" t="n"/>
      <c r="R44" s="198" t="n"/>
      <c r="S44" s="198" t="n"/>
      <c r="T44" s="198" t="n"/>
      <c r="U44" s="198" t="n"/>
      <c r="V44" s="198" t="n"/>
    </row>
    <row r="45" ht="32" customHeight="1" s="239">
      <c r="A45" s="212" t="inlineStr">
        <is>
          <t>Scenario Depreciation</t>
        </is>
      </c>
      <c r="B45" s="140">
        <f>IFERROR(PNL!B$9*(1+$B$32),"")</f>
        <v/>
      </c>
      <c r="C45" s="140">
        <f>IFERROR(PNL!C$9*(1+$B$32),"")</f>
        <v/>
      </c>
      <c r="D45" s="140">
        <f>IFERROR(PNL!D$9*(1+$B$32),"")</f>
        <v/>
      </c>
      <c r="E45" s="140">
        <f>IFERROR(PNL!E$9*(1+$B$32),"")</f>
        <v/>
      </c>
      <c r="F45" s="140">
        <f>IFERROR(PNL!F$9*(1+$B$32),"")</f>
        <v/>
      </c>
      <c r="G45" s="140">
        <f>IFERROR(PNL!G$9*(1+$B$32),"")</f>
        <v/>
      </c>
      <c r="H45" s="140">
        <f>IFERROR(PNL!H$9*(1+$B$32),"")</f>
        <v/>
      </c>
      <c r="I45" s="140">
        <f>IFERROR(PNL!I$9*(1+$B$32),"")</f>
        <v/>
      </c>
      <c r="J45" s="140">
        <f>IFERROR(PNL!J$9*(1+$B$32),"")</f>
        <v/>
      </c>
      <c r="K45" s="140">
        <f>IFERROR(PNL!K$9*(1+$B$32),"")</f>
        <v/>
      </c>
      <c r="L45" s="198" t="n"/>
      <c r="M45" s="198" t="n"/>
      <c r="N45" s="198" t="n"/>
      <c r="O45" s="198" t="n"/>
      <c r="P45" s="198" t="n"/>
      <c r="Q45" s="198" t="n"/>
      <c r="R45" s="198" t="n"/>
      <c r="S45" s="198" t="n"/>
      <c r="T45" s="198" t="n"/>
      <c r="U45" s="198" t="n"/>
      <c r="V45" s="198" t="n"/>
    </row>
    <row r="46" ht="16" customHeight="1" s="239">
      <c r="A46" s="212" t="inlineStr">
        <is>
          <t>Scenario Cash CAPEX</t>
        </is>
      </c>
      <c r="B46" s="140">
        <f>IFERROR((CAPEX!D$11-IF(B$39=1,ASSUMPTIONS!$B$10,0))*(1+$B$32),"")</f>
        <v/>
      </c>
      <c r="C46" s="140">
        <f>IFERROR((CAPEX!E$11-IF(C$39=1,ASSUMPTIONS!$B$10,0))*(1+$B$32),"")</f>
        <v/>
      </c>
      <c r="D46" s="140">
        <f>IFERROR((CAPEX!F$11-IF(D$39=1,ASSUMPTIONS!$B$10,0))*(1+$B$32),"")</f>
        <v/>
      </c>
      <c r="E46" s="140">
        <f>IFERROR((CAPEX!G$11-IF(E$39=1,ASSUMPTIONS!$B$10,0))*(1+$B$32),"")</f>
        <v/>
      </c>
      <c r="F46" s="140">
        <f>IFERROR((CAPEX!H$11-IF(F$39=1,ASSUMPTIONS!$B$10,0))*(1+$B$32),"")</f>
        <v/>
      </c>
      <c r="G46" s="140">
        <f>IFERROR((CAPEX!I$11-IF(G$39=1,ASSUMPTIONS!$B$10,0))*(1+$B$32),"")</f>
        <v/>
      </c>
      <c r="H46" s="140">
        <f>IFERROR((CAPEX!J$11-IF(H$39=1,ASSUMPTIONS!$B$10,0))*(1+$B$32),"")</f>
        <v/>
      </c>
      <c r="I46" s="140">
        <f>IFERROR((CAPEX!K$11-IF(I$39=1,ASSUMPTIONS!$B$10,0))*(1+$B$32),"")</f>
        <v/>
      </c>
      <c r="J46" s="140">
        <f>IFERROR((CAPEX!L$11-IF(J$39=1,ASSUMPTIONS!$B$10,0))*(1+$B$32),"")</f>
        <v/>
      </c>
      <c r="K46" s="140">
        <f>IFERROR((CAPEX!M$11-IF(K$39=1,ASSUMPTIONS!$B$10,0))*(1+$B$32),"")</f>
        <v/>
      </c>
      <c r="L46" s="198" t="n"/>
      <c r="M46" s="198" t="n"/>
      <c r="N46" s="198" t="n"/>
      <c r="O46" s="198" t="n"/>
      <c r="P46" s="198" t="n"/>
      <c r="Q46" s="198" t="n"/>
      <c r="R46" s="198" t="n"/>
      <c r="S46" s="198" t="n"/>
      <c r="T46" s="198" t="n"/>
      <c r="U46" s="198" t="n"/>
      <c r="V46" s="198" t="n"/>
    </row>
    <row r="47" ht="16" customHeight="1" s="239">
      <c r="A47" s="212" t="inlineStr">
        <is>
          <t>Scenario NWC</t>
        </is>
      </c>
      <c r="B47" s="140">
        <f>IFERROR(B41/365*$B$34+B43/365*ASSUMPTIONS!$B$14-B43/365*ASSUMPTIONS!$B$15,"")</f>
        <v/>
      </c>
      <c r="C47" s="140">
        <f>IFERROR(C41/365*$B$34+C43/365*ASSUMPTIONS!$B$14-C43/365*ASSUMPTIONS!$B$15,"")</f>
        <v/>
      </c>
      <c r="D47" s="140">
        <f>IFERROR(D41/365*$B$34+D43/365*ASSUMPTIONS!$B$14-D43/365*ASSUMPTIONS!$B$15,"")</f>
        <v/>
      </c>
      <c r="E47" s="140">
        <f>IFERROR(E41/365*$B$34+E43/365*ASSUMPTIONS!$B$14-E43/365*ASSUMPTIONS!$B$15,"")</f>
        <v/>
      </c>
      <c r="F47" s="140">
        <f>IFERROR(F41/365*$B$34+F43/365*ASSUMPTIONS!$B$14-F43/365*ASSUMPTIONS!$B$15,"")</f>
        <v/>
      </c>
      <c r="G47" s="140">
        <f>IFERROR(G41/365*$B$34+G43/365*ASSUMPTIONS!$B$14-G43/365*ASSUMPTIONS!$B$15,"")</f>
        <v/>
      </c>
      <c r="H47" s="140">
        <f>IFERROR(H41/365*$B$34+H43/365*ASSUMPTIONS!$B$14-H43/365*ASSUMPTIONS!$B$15,"")</f>
        <v/>
      </c>
      <c r="I47" s="140">
        <f>IFERROR(I41/365*$B$34+I43/365*ASSUMPTIONS!$B$14-I43/365*ASSUMPTIONS!$B$15,"")</f>
        <v/>
      </c>
      <c r="J47" s="140">
        <f>IFERROR(J41/365*$B$34+J43/365*ASSUMPTIONS!$B$14-J43/365*ASSUMPTIONS!$B$15,"")</f>
        <v/>
      </c>
      <c r="K47" s="140">
        <f>IFERROR(K41/365*$B$34+K43/365*ASSUMPTIONS!$B$14-K43/365*ASSUMPTIONS!$B$15,"")</f>
        <v/>
      </c>
      <c r="L47" s="198" t="n"/>
      <c r="M47" s="198" t="n"/>
      <c r="N47" s="198" t="n"/>
      <c r="O47" s="198" t="n"/>
      <c r="P47" s="198" t="n"/>
      <c r="Q47" s="198" t="n"/>
      <c r="R47" s="198" t="n"/>
      <c r="S47" s="198" t="n"/>
      <c r="T47" s="198" t="n"/>
      <c r="U47" s="198" t="n"/>
      <c r="V47" s="198" t="n"/>
    </row>
    <row r="48" ht="16" customHeight="1" s="239">
      <c r="A48" s="212" t="inlineStr">
        <is>
          <t>Delta NWC</t>
        </is>
      </c>
      <c r="B48" s="140">
        <f>IFERROR(B47,"")</f>
        <v/>
      </c>
      <c r="C48" s="140">
        <f>IFERROR(C47-B47,"")</f>
        <v/>
      </c>
      <c r="D48" s="140">
        <f>IFERROR(D47-C47,"")</f>
        <v/>
      </c>
      <c r="E48" s="140">
        <f>IFERROR(E47-D47,"")</f>
        <v/>
      </c>
      <c r="F48" s="140">
        <f>IFERROR(F47-E47,"")</f>
        <v/>
      </c>
      <c r="G48" s="140">
        <f>IFERROR(G47-F47,"")</f>
        <v/>
      </c>
      <c r="H48" s="140">
        <f>IFERROR(H47-G47,"")</f>
        <v/>
      </c>
      <c r="I48" s="140">
        <f>IFERROR(I47-H47,"")</f>
        <v/>
      </c>
      <c r="J48" s="140">
        <f>IFERROR(J47-I47,"")</f>
        <v/>
      </c>
      <c r="K48" s="140">
        <f>IFERROR(K47-J47,"")</f>
        <v/>
      </c>
      <c r="L48" s="198" t="n"/>
      <c r="M48" s="198" t="n"/>
      <c r="N48" s="198" t="n"/>
      <c r="O48" s="198" t="n"/>
      <c r="P48" s="198" t="n"/>
      <c r="Q48" s="198" t="n"/>
      <c r="R48" s="198" t="n"/>
      <c r="S48" s="198" t="n"/>
      <c r="T48" s="198" t="n"/>
      <c r="U48" s="198" t="n"/>
      <c r="V48" s="198" t="n"/>
    </row>
    <row r="49" ht="16" customHeight="1" s="239">
      <c r="A49" s="212" t="inlineStr">
        <is>
          <t>Opening Debt</t>
        </is>
      </c>
      <c r="B49" s="140">
        <f>IFERROR(ASSUMPTIONS!$B$5,"")</f>
        <v/>
      </c>
      <c r="C49" s="140">
        <f>IFERROR(B53,"")</f>
        <v/>
      </c>
      <c r="D49" s="140">
        <f>IFERROR(C53,"")</f>
        <v/>
      </c>
      <c r="E49" s="140">
        <f>IFERROR(D53,"")</f>
        <v/>
      </c>
      <c r="F49" s="140">
        <f>IFERROR(E53,"")</f>
        <v/>
      </c>
      <c r="G49" s="140">
        <f>IFERROR(F53,"")</f>
        <v/>
      </c>
      <c r="H49" s="140">
        <f>IFERROR(G53,"")</f>
        <v/>
      </c>
      <c r="I49" s="140">
        <f>IFERROR(H53,"")</f>
        <v/>
      </c>
      <c r="J49" s="140">
        <f>IFERROR(I53,"")</f>
        <v/>
      </c>
      <c r="K49" s="140">
        <f>IFERROR(J53,"")</f>
        <v/>
      </c>
      <c r="L49" s="198" t="n"/>
      <c r="M49" s="198" t="n"/>
      <c r="N49" s="198" t="n"/>
      <c r="O49" s="198" t="n"/>
      <c r="P49" s="198" t="n"/>
      <c r="Q49" s="198" t="n"/>
      <c r="R49" s="198" t="n"/>
      <c r="S49" s="198" t="n"/>
      <c r="T49" s="198" t="n"/>
      <c r="U49" s="198" t="n"/>
      <c r="V49" s="198" t="n"/>
    </row>
    <row r="50" ht="16" customHeight="1" s="239">
      <c r="A50" s="212" t="inlineStr">
        <is>
          <t>Interest</t>
        </is>
      </c>
      <c r="B50" s="140">
        <f>IFERROR(B49*$D$33,"")</f>
        <v/>
      </c>
      <c r="C50" s="140">
        <f>IFERROR(C49*$D$33,"")</f>
        <v/>
      </c>
      <c r="D50" s="140">
        <f>IFERROR(D49*$D$33,"")</f>
        <v/>
      </c>
      <c r="E50" s="140">
        <f>IFERROR(E49*$D$33,"")</f>
        <v/>
      </c>
      <c r="F50" s="140">
        <f>IFERROR(F49*$D$33,"")</f>
        <v/>
      </c>
      <c r="G50" s="140">
        <f>IFERROR(G49*$D$33,"")</f>
        <v/>
      </c>
      <c r="H50" s="140">
        <f>IFERROR(H49*$D$33,"")</f>
        <v/>
      </c>
      <c r="I50" s="140">
        <f>IFERROR(I49*$D$33,"")</f>
        <v/>
      </c>
      <c r="J50" s="140">
        <f>IFERROR(J49*$D$33,"")</f>
        <v/>
      </c>
      <c r="K50" s="140">
        <f>IFERROR(K49*$D$33,"")</f>
        <v/>
      </c>
      <c r="L50" s="198" t="n"/>
      <c r="M50" s="198" t="n"/>
      <c r="N50" s="198" t="n"/>
      <c r="O50" s="198" t="n"/>
      <c r="P50" s="198" t="n"/>
      <c r="Q50" s="198" t="n"/>
      <c r="R50" s="198" t="n"/>
      <c r="S50" s="198" t="n"/>
      <c r="T50" s="198" t="n"/>
      <c r="U50" s="198" t="n"/>
      <c r="V50" s="198" t="n"/>
    </row>
    <row r="51" ht="16" customHeight="1" s="239">
      <c r="A51" s="212" t="inlineStr">
        <is>
          <t>Debt Service</t>
        </is>
      </c>
      <c r="B51" s="140">
        <f>IFERROR(IF(B$39&lt;=ASSUMPTIONS!$B$8,0,MIN(B49+B50,-PMT($D$33,MAX(1,ASSUMPTIONS!$B$7-B$39+1),B49),MAX(0,B55/$D$36))),"")</f>
        <v/>
      </c>
      <c r="C51" s="140">
        <f>IFERROR(IF(C$39&lt;=ASSUMPTIONS!$B$8,0,MIN(C49+C50,-PMT($D$33,MAX(1,ASSUMPTIONS!$B$7-C$39+1),C49),MAX(0,C55/$D$36))),"")</f>
        <v/>
      </c>
      <c r="D51" s="140">
        <f>IFERROR(IF(D$39&lt;=ASSUMPTIONS!$B$8,0,MIN(D49+D50,-PMT($D$33,MAX(1,ASSUMPTIONS!$B$7-D$39+1),D49),MAX(0,D55/$D$36))),"")</f>
        <v/>
      </c>
      <c r="E51" s="140">
        <f>IFERROR(IF(E$39&lt;=ASSUMPTIONS!$B$8,0,MIN(E49+E50,-PMT($D$33,MAX(1,ASSUMPTIONS!$B$7-E$39+1),E49),MAX(0,E55/$D$36))),"")</f>
        <v/>
      </c>
      <c r="F51" s="140">
        <f>IFERROR(IF(F$39&lt;=ASSUMPTIONS!$B$8,0,MIN(F49+F50,-PMT($D$33,MAX(1,ASSUMPTIONS!$B$7-F$39+1),F49),MAX(0,F55/$D$36))),"")</f>
        <v/>
      </c>
      <c r="G51" s="140">
        <f>IFERROR(IF(G$39&lt;=ASSUMPTIONS!$B$8,0,MIN(G49+G50,-PMT($D$33,MAX(1,ASSUMPTIONS!$B$7-G$39+1),G49),MAX(0,G55/$D$36))),"")</f>
        <v/>
      </c>
      <c r="H51" s="140">
        <f>IFERROR(IF(H$39&lt;=ASSUMPTIONS!$B$8,0,MIN(H49+H50,-PMT($D$33,MAX(1,ASSUMPTIONS!$B$7-H$39+1),H49),MAX(0,H55/$D$36))),"")</f>
        <v/>
      </c>
      <c r="I51" s="140">
        <f>IFERROR(IF(I$39&lt;=ASSUMPTIONS!$B$8,0,MIN(I49+I50,-PMT($D$33,MAX(1,ASSUMPTIONS!$B$7-I$39+1),I49),MAX(0,I55/$D$36))),"")</f>
        <v/>
      </c>
      <c r="J51" s="140">
        <f>IFERROR(IF(J$39&lt;=ASSUMPTIONS!$B$8,0,MIN(J49+J50,-PMT($D$33,MAX(1,ASSUMPTIONS!$B$7-J$39+1),J49),MAX(0,J55/$D$36))),"")</f>
        <v/>
      </c>
      <c r="K51" s="140">
        <f>IFERROR(IF(K$39&lt;=ASSUMPTIONS!$B$8,0,MIN(K49+K50,-PMT($D$33,MAX(1,ASSUMPTIONS!$B$7-K$39+1),K49),MAX(0,K55/$D$36))),"")</f>
        <v/>
      </c>
      <c r="L51" s="198" t="n"/>
      <c r="M51" s="198" t="n"/>
      <c r="N51" s="198" t="n"/>
      <c r="O51" s="198" t="n"/>
      <c r="P51" s="198" t="n"/>
      <c r="Q51" s="198" t="n"/>
      <c r="R51" s="198" t="n"/>
      <c r="S51" s="198" t="n"/>
      <c r="T51" s="198" t="n"/>
      <c r="U51" s="198" t="n"/>
      <c r="V51" s="198" t="n"/>
    </row>
    <row r="52" ht="16" customHeight="1" s="239">
      <c r="A52" s="212" t="inlineStr">
        <is>
          <t>Principal</t>
        </is>
      </c>
      <c r="B52" s="140">
        <f>IFERROR(MAX(0,B51-B50),"")</f>
        <v/>
      </c>
      <c r="C52" s="140">
        <f>IFERROR(MAX(0,C51-C50),"")</f>
        <v/>
      </c>
      <c r="D52" s="140">
        <f>IFERROR(MAX(0,D51-D50),"")</f>
        <v/>
      </c>
      <c r="E52" s="140">
        <f>IFERROR(MAX(0,E51-E50),"")</f>
        <v/>
      </c>
      <c r="F52" s="140">
        <f>IFERROR(MAX(0,F51-F50),"")</f>
        <v/>
      </c>
      <c r="G52" s="140">
        <f>IFERROR(MAX(0,G51-G50),"")</f>
        <v/>
      </c>
      <c r="H52" s="140">
        <f>IFERROR(MAX(0,H51-H50),"")</f>
        <v/>
      </c>
      <c r="I52" s="140">
        <f>IFERROR(MAX(0,I51-I50),"")</f>
        <v/>
      </c>
      <c r="J52" s="140">
        <f>IFERROR(MAX(0,J51-J50),"")</f>
        <v/>
      </c>
      <c r="K52" s="140">
        <f>IFERROR(MAX(0,K51-K50),"")</f>
        <v/>
      </c>
      <c r="L52" s="198" t="n"/>
      <c r="M52" s="198" t="n"/>
      <c r="N52" s="198" t="n"/>
      <c r="O52" s="198" t="n"/>
      <c r="P52" s="198" t="n"/>
      <c r="Q52" s="198" t="n"/>
      <c r="R52" s="198" t="n"/>
      <c r="S52" s="198" t="n"/>
      <c r="T52" s="198" t="n"/>
      <c r="U52" s="198" t="n"/>
      <c r="V52" s="198" t="n"/>
    </row>
    <row r="53" ht="16" customHeight="1" s="239">
      <c r="A53" s="212" t="inlineStr">
        <is>
          <t>Closing Debt</t>
        </is>
      </c>
      <c r="B53" s="140">
        <f>IFERROR(MAX(0,B49+B50-B51),"")</f>
        <v/>
      </c>
      <c r="C53" s="140">
        <f>IFERROR(MAX(0,C49+C50-C51),"")</f>
        <v/>
      </c>
      <c r="D53" s="140">
        <f>IFERROR(MAX(0,D49+D50-D51),"")</f>
        <v/>
      </c>
      <c r="E53" s="140">
        <f>IFERROR(MAX(0,E49+E50-E51),"")</f>
        <v/>
      </c>
      <c r="F53" s="140">
        <f>IFERROR(MAX(0,F49+F50-F51),"")</f>
        <v/>
      </c>
      <c r="G53" s="140">
        <f>IFERROR(MAX(0,G49+G50-G51),"")</f>
        <v/>
      </c>
      <c r="H53" s="140">
        <f>IFERROR(MAX(0,H49+H50-H51),"")</f>
        <v/>
      </c>
      <c r="I53" s="140">
        <f>IFERROR(MAX(0,I49+I50-I51),"")</f>
        <v/>
      </c>
      <c r="J53" s="140">
        <f>IFERROR(MAX(0,J49+J50-J51),"")</f>
        <v/>
      </c>
      <c r="K53" s="140">
        <f>IFERROR(MAX(0,K49+K50-K51),"")</f>
        <v/>
      </c>
      <c r="L53" s="198" t="n"/>
      <c r="M53" s="198" t="n"/>
      <c r="N53" s="198" t="n"/>
      <c r="O53" s="198" t="n"/>
      <c r="P53" s="198" t="n"/>
      <c r="Q53" s="198" t="n"/>
      <c r="R53" s="198" t="n"/>
      <c r="S53" s="198" t="n"/>
      <c r="T53" s="198" t="n"/>
      <c r="U53" s="198" t="n"/>
      <c r="V53" s="198" t="n"/>
    </row>
    <row r="54" ht="16" customHeight="1" s="239">
      <c r="A54" s="212" t="inlineStr">
        <is>
          <t>Cash Tax</t>
        </is>
      </c>
      <c r="B54" s="140">
        <f>IFERROR(MAX(0,(B44-B45-B50)*ASSUMPTIONS!$B$9),"")</f>
        <v/>
      </c>
      <c r="C54" s="140">
        <f>IFERROR(MAX(0,(C44-C45-C50)*ASSUMPTIONS!$B$9),"")</f>
        <v/>
      </c>
      <c r="D54" s="140">
        <f>IFERROR(MAX(0,(D44-D45-D50)*ASSUMPTIONS!$B$9),"")</f>
        <v/>
      </c>
      <c r="E54" s="140">
        <f>IFERROR(MAX(0,(E44-E45-E50)*ASSUMPTIONS!$B$9),"")</f>
        <v/>
      </c>
      <c r="F54" s="140">
        <f>IFERROR(MAX(0,(F44-F45-F50)*ASSUMPTIONS!$B$9),"")</f>
        <v/>
      </c>
      <c r="G54" s="140">
        <f>IFERROR(MAX(0,(G44-G45-G50)*ASSUMPTIONS!$B$9),"")</f>
        <v/>
      </c>
      <c r="H54" s="140">
        <f>IFERROR(MAX(0,(H44-H45-H50)*ASSUMPTIONS!$B$9),"")</f>
        <v/>
      </c>
      <c r="I54" s="140">
        <f>IFERROR(MAX(0,(I44-I45-I50)*ASSUMPTIONS!$B$9),"")</f>
        <v/>
      </c>
      <c r="J54" s="140">
        <f>IFERROR(MAX(0,(J44-J45-J50)*ASSUMPTIONS!$B$9),"")</f>
        <v/>
      </c>
      <c r="K54" s="140">
        <f>IFERROR(MAX(0,(K44-K45-K50)*ASSUMPTIONS!$B$9),"")</f>
        <v/>
      </c>
      <c r="L54" s="198" t="n"/>
      <c r="M54" s="198" t="n"/>
      <c r="N54" s="198" t="n"/>
      <c r="O54" s="198" t="n"/>
      <c r="P54" s="198" t="n"/>
      <c r="Q54" s="198" t="n"/>
      <c r="R54" s="198" t="n"/>
      <c r="S54" s="198" t="n"/>
      <c r="T54" s="198" t="n"/>
      <c r="U54" s="198" t="n"/>
      <c r="V54" s="198" t="n"/>
    </row>
    <row r="55" ht="16" customHeight="1" s="239">
      <c r="A55" s="212" t="inlineStr">
        <is>
          <t>CFADS</t>
        </is>
      </c>
      <c r="B55" s="140">
        <f>IFERROR(B44-B54-B48,"")</f>
        <v/>
      </c>
      <c r="C55" s="140">
        <f>IFERROR(C44-C54-C48,"")</f>
        <v/>
      </c>
      <c r="D55" s="140">
        <f>IFERROR(D44-D54-D48,"")</f>
        <v/>
      </c>
      <c r="E55" s="140">
        <f>IFERROR(E44-E54-E48,"")</f>
        <v/>
      </c>
      <c r="F55" s="140">
        <f>IFERROR(F44-F54-F48,"")</f>
        <v/>
      </c>
      <c r="G55" s="140">
        <f>IFERROR(G44-G54-G48,"")</f>
        <v/>
      </c>
      <c r="H55" s="140">
        <f>IFERROR(H44-H54-H48,"")</f>
        <v/>
      </c>
      <c r="I55" s="140">
        <f>IFERROR(I44-I54-I48,"")</f>
        <v/>
      </c>
      <c r="J55" s="140">
        <f>IFERROR(J44-J54-J48,"")</f>
        <v/>
      </c>
      <c r="K55" s="140">
        <f>IFERROR(K44-K54-K48,"")</f>
        <v/>
      </c>
      <c r="L55" s="198" t="n"/>
      <c r="M55" s="198" t="n"/>
      <c r="N55" s="198" t="n"/>
      <c r="O55" s="198" t="n"/>
      <c r="P55" s="198" t="n"/>
      <c r="Q55" s="198" t="n"/>
      <c r="R55" s="198" t="n"/>
      <c r="S55" s="198" t="n"/>
      <c r="T55" s="198" t="n"/>
      <c r="U55" s="198" t="n"/>
      <c r="V55" s="198" t="n"/>
    </row>
    <row r="56" ht="16" customHeight="1" s="239">
      <c r="A56" s="212" t="inlineStr">
        <is>
          <t>DSCR</t>
        </is>
      </c>
      <c r="B56" s="140">
        <f>IFERROR(IF(B51=0,"",B55/B51),"")</f>
        <v/>
      </c>
      <c r="C56" s="140">
        <f>IFERROR(IF(C51=0,"",C55/C51),"")</f>
        <v/>
      </c>
      <c r="D56" s="140">
        <f>IFERROR(IF(D51=0,"",D55/D51),"")</f>
        <v/>
      </c>
      <c r="E56" s="140">
        <f>IFERROR(IF(E51=0,"",E55/E51),"")</f>
        <v/>
      </c>
      <c r="F56" s="140">
        <f>IFERROR(IF(F51=0,"",F55/F51),"")</f>
        <v/>
      </c>
      <c r="G56" s="140">
        <f>IFERROR(IF(G51=0,"",G55/G51),"")</f>
        <v/>
      </c>
      <c r="H56" s="140">
        <f>IFERROR(IF(H51=0,"",H55/H51),"")</f>
        <v/>
      </c>
      <c r="I56" s="140">
        <f>IFERROR(IF(I51=0,"",I55/I51),"")</f>
        <v/>
      </c>
      <c r="J56" s="140">
        <f>IFERROR(IF(J51=0,"",J55/J51),"")</f>
        <v/>
      </c>
      <c r="K56" s="140">
        <f>IFERROR(IF(K51=0,"",K55/K51),"")</f>
        <v/>
      </c>
      <c r="L56" s="198" t="n"/>
      <c r="M56" s="198" t="n"/>
      <c r="N56" s="198" t="n"/>
      <c r="O56" s="198" t="n"/>
      <c r="P56" s="198" t="n"/>
      <c r="Q56" s="198" t="n"/>
      <c r="R56" s="198" t="n"/>
      <c r="S56" s="198" t="n"/>
      <c r="T56" s="198" t="n"/>
      <c r="U56" s="198" t="n"/>
      <c r="V56" s="198" t="n"/>
    </row>
    <row r="57" ht="16" customHeight="1" s="239">
      <c r="A57" s="212" t="inlineStr">
        <is>
          <t>Ending Cash</t>
        </is>
      </c>
      <c r="B57" s="140">
        <f>IFERROR(B55-B46+IF(B$39=1,ASSUMPTIONS!$B$5,0)-B51,"")</f>
        <v/>
      </c>
      <c r="C57" s="140">
        <f>IFERROR(B57+C55-C46+IF(C$39=1,ASSUMPTIONS!$B$5,0)-C51,"")</f>
        <v/>
      </c>
      <c r="D57" s="140">
        <f>IFERROR(C57+D55-D46+IF(D$39=1,ASSUMPTIONS!$B$5,0)-D51,"")</f>
        <v/>
      </c>
      <c r="E57" s="140">
        <f>IFERROR(D57+E55-E46+IF(E$39=1,ASSUMPTIONS!$B$5,0)-E51,"")</f>
        <v/>
      </c>
      <c r="F57" s="140">
        <f>IFERROR(E57+F55-F46+IF(F$39=1,ASSUMPTIONS!$B$5,0)-F51,"")</f>
        <v/>
      </c>
      <c r="G57" s="140">
        <f>IFERROR(F57+G55-G46+IF(G$39=1,ASSUMPTIONS!$B$5,0)-G51,"")</f>
        <v/>
      </c>
      <c r="H57" s="140">
        <f>IFERROR(G57+H55-H46+IF(H$39=1,ASSUMPTIONS!$B$5,0)-H51,"")</f>
        <v/>
      </c>
      <c r="I57" s="140">
        <f>IFERROR(H57+I55-I46+IF(I$39=1,ASSUMPTIONS!$B$5,0)-I51,"")</f>
        <v/>
      </c>
      <c r="J57" s="140">
        <f>IFERROR(I57+J55-J46+IF(J$39=1,ASSUMPTIONS!$B$5,0)-J51,"")</f>
        <v/>
      </c>
      <c r="K57" s="140">
        <f>IFERROR(J57+K55-K46+IF(K$39=1,ASSUMPTIONS!$B$5,0)-K51,"")</f>
        <v/>
      </c>
      <c r="L57" s="198" t="n"/>
      <c r="M57" s="198" t="n"/>
      <c r="N57" s="198" t="n"/>
      <c r="O57" s="198" t="n"/>
      <c r="P57" s="198" t="n"/>
      <c r="Q57" s="198" t="n"/>
      <c r="R57" s="198" t="n"/>
      <c r="S57" s="198" t="n"/>
      <c r="T57" s="198" t="n"/>
      <c r="U57" s="198" t="n"/>
      <c r="V57" s="198" t="n"/>
    </row>
    <row r="58" ht="16" customHeight="1" s="239">
      <c r="A58" s="212" t="inlineStr">
        <is>
          <t>Status</t>
        </is>
      </c>
      <c r="B58" s="140">
        <f>IFERROR(IF(B57&lt;0,"CASH GAP",IF(AND(B51&gt;0,B56&lt;$D$36),"DSCR WATCH","OK")),"")</f>
        <v/>
      </c>
      <c r="C58" s="140">
        <f>IFERROR(IF(C57&lt;0,"CASH GAP",IF(AND(C51&gt;0,C56&lt;$D$36),"DSCR WATCH","OK")),"")</f>
        <v/>
      </c>
      <c r="D58" s="140">
        <f>IFERROR(IF(D57&lt;0,"CASH GAP",IF(AND(D51&gt;0,D56&lt;$D$36),"DSCR WATCH","OK")),"")</f>
        <v/>
      </c>
      <c r="E58" s="140">
        <f>IFERROR(IF(E57&lt;0,"CASH GAP",IF(AND(E51&gt;0,E56&lt;$D$36),"DSCR WATCH","OK")),"")</f>
        <v/>
      </c>
      <c r="F58" s="140">
        <f>IFERROR(IF(F57&lt;0,"CASH GAP",IF(AND(F51&gt;0,F56&lt;$D$36),"DSCR WATCH","OK")),"")</f>
        <v/>
      </c>
      <c r="G58" s="140">
        <f>IFERROR(IF(G57&lt;0,"CASH GAP",IF(AND(G51&gt;0,G56&lt;$D$36),"DSCR WATCH","OK")),"")</f>
        <v/>
      </c>
      <c r="H58" s="140">
        <f>IFERROR(IF(H57&lt;0,"CASH GAP",IF(AND(H51&gt;0,H56&lt;$D$36),"DSCR WATCH","OK")),"")</f>
        <v/>
      </c>
      <c r="I58" s="140">
        <f>IFERROR(IF(I57&lt;0,"CASH GAP",IF(AND(I51&gt;0,I56&lt;$D$36),"DSCR WATCH","OK")),"")</f>
        <v/>
      </c>
      <c r="J58" s="140">
        <f>IFERROR(IF(J57&lt;0,"CASH GAP",IF(AND(J51&gt;0,J56&lt;$D$36),"DSCR WATCH","OK")),"")</f>
        <v/>
      </c>
      <c r="K58" s="140">
        <f>IFERROR(IF(K57&lt;0,"CASH GAP",IF(AND(K51&gt;0,K56&lt;$D$36),"DSCR WATCH","OK")),"")</f>
        <v/>
      </c>
      <c r="L58" s="198" t="n"/>
      <c r="M58" s="198" t="n"/>
      <c r="N58" s="198" t="n"/>
      <c r="O58" s="198" t="n"/>
      <c r="P58" s="198" t="n"/>
      <c r="Q58" s="198" t="n"/>
      <c r="R58" s="198" t="n"/>
      <c r="S58" s="198" t="n"/>
      <c r="T58" s="198" t="n"/>
      <c r="U58" s="198" t="n"/>
      <c r="V58" s="198" t="n"/>
    </row>
    <row r="59">
      <c r="A59" s="198" t="n"/>
      <c r="B59" s="198" t="n"/>
      <c r="C59" s="198" t="n"/>
      <c r="D59" s="198" t="n"/>
      <c r="E59" s="198" t="n"/>
      <c r="F59" s="198" t="n"/>
      <c r="G59" s="198" t="n"/>
      <c r="H59" s="198" t="n"/>
      <c r="I59" s="198" t="n"/>
      <c r="J59" s="198" t="n"/>
      <c r="K59" s="198" t="n"/>
      <c r="L59" s="198" t="n"/>
      <c r="M59" s="198" t="n"/>
      <c r="N59" s="198" t="n"/>
      <c r="O59" s="198" t="n"/>
      <c r="P59" s="198" t="n"/>
      <c r="Q59" s="198" t="n"/>
      <c r="R59" s="198" t="n"/>
      <c r="S59" s="198" t="n"/>
      <c r="T59" s="198" t="n"/>
      <c r="U59" s="198" t="n"/>
      <c r="V59" s="198" t="n"/>
    </row>
    <row r="60">
      <c r="A60" s="198" t="n"/>
      <c r="B60" s="198" t="n"/>
      <c r="C60" s="198" t="n"/>
      <c r="D60" s="198" t="n"/>
      <c r="E60" s="198" t="n"/>
      <c r="F60" s="198" t="n"/>
      <c r="G60" s="198" t="n"/>
      <c r="H60" s="198" t="n"/>
      <c r="I60" s="198" t="n"/>
      <c r="J60" s="198" t="n"/>
      <c r="K60" s="198" t="n"/>
      <c r="L60" s="198" t="n"/>
      <c r="M60" s="198" t="n"/>
      <c r="N60" s="198" t="n"/>
      <c r="O60" s="198" t="n"/>
      <c r="P60" s="198" t="n"/>
      <c r="Q60" s="198" t="n"/>
      <c r="R60" s="198" t="n"/>
      <c r="S60" s="198" t="n"/>
      <c r="T60" s="198" t="n"/>
      <c r="U60" s="198" t="n"/>
      <c r="V60" s="198" t="n"/>
    </row>
    <row r="61" ht="48" customHeight="1" s="239">
      <c r="A61" s="205" t="inlineStr">
        <is>
          <t>Chart dashboard is displayed to the right in columns M:V.</t>
        </is>
      </c>
      <c r="B61" s="198" t="n"/>
      <c r="C61" s="198" t="n"/>
      <c r="D61" s="198" t="n"/>
      <c r="E61" s="198" t="n"/>
      <c r="F61" s="198" t="n"/>
      <c r="G61" s="198" t="n"/>
      <c r="H61" s="198" t="n"/>
      <c r="I61" s="198" t="n"/>
      <c r="J61" s="198" t="n"/>
      <c r="K61" s="198" t="n"/>
      <c r="L61" s="198" t="n"/>
      <c r="M61" s="198" t="n"/>
      <c r="N61" s="198" t="n"/>
      <c r="O61" s="198" t="n"/>
      <c r="P61" s="198" t="n"/>
      <c r="Q61" s="198" t="n"/>
      <c r="R61" s="198" t="n"/>
      <c r="S61" s="198" t="n"/>
      <c r="T61" s="198" t="n"/>
      <c r="U61" s="198" t="n"/>
      <c r="V61" s="198" t="n"/>
    </row>
    <row r="62">
      <c r="A62" s="214" t="n"/>
      <c r="B62" s="214" t="n"/>
      <c r="C62" s="214" t="n"/>
      <c r="D62" s="214" t="n"/>
      <c r="E62" s="214" t="n"/>
      <c r="F62" s="214" t="n"/>
      <c r="G62" s="214" t="n"/>
      <c r="H62" s="214" t="n"/>
      <c r="I62" s="214" t="n"/>
      <c r="J62" s="214" t="n"/>
      <c r="K62" s="214" t="n"/>
      <c r="L62" s="198" t="n"/>
      <c r="M62" s="198" t="n"/>
      <c r="N62" s="198" t="n"/>
      <c r="O62" s="198" t="n"/>
      <c r="P62" s="198" t="n"/>
      <c r="Q62" s="198" t="n"/>
      <c r="R62" s="198" t="n"/>
      <c r="S62" s="198" t="n"/>
      <c r="T62" s="198" t="n"/>
      <c r="U62" s="198" t="n"/>
      <c r="V62" s="198" t="n"/>
    </row>
    <row r="63">
      <c r="A63" s="214" t="n"/>
      <c r="B63" s="214" t="n"/>
      <c r="C63" s="214" t="n"/>
      <c r="D63" s="214" t="n"/>
      <c r="E63" s="214" t="n"/>
      <c r="F63" s="214" t="n"/>
      <c r="G63" s="214" t="n"/>
      <c r="H63" s="214" t="n"/>
      <c r="I63" s="214" t="n"/>
      <c r="J63" s="214" t="n"/>
      <c r="K63" s="214" t="n"/>
      <c r="L63" s="198" t="n"/>
      <c r="M63" s="198" t="n"/>
      <c r="N63" s="198" t="n"/>
      <c r="O63" s="198" t="n"/>
      <c r="P63" s="198" t="n"/>
      <c r="Q63" s="198" t="n"/>
      <c r="R63" s="198" t="n"/>
      <c r="S63" s="198" t="n"/>
      <c r="T63" s="198" t="n"/>
      <c r="U63" s="198" t="n"/>
      <c r="V63" s="198" t="n"/>
    </row>
    <row r="64">
      <c r="A64" s="214" t="n"/>
      <c r="B64" s="214" t="n"/>
      <c r="C64" s="214" t="n"/>
      <c r="D64" s="214" t="n"/>
      <c r="E64" s="214" t="n"/>
      <c r="F64" s="214" t="n"/>
      <c r="G64" s="214" t="n"/>
      <c r="H64" s="214" t="n"/>
      <c r="I64" s="214" t="n"/>
      <c r="J64" s="214" t="n"/>
      <c r="K64" s="214" t="n"/>
      <c r="L64" s="198" t="n"/>
      <c r="M64" s="198" t="n"/>
      <c r="N64" s="198" t="n"/>
      <c r="O64" s="198" t="n"/>
      <c r="P64" s="198" t="n"/>
      <c r="Q64" s="198" t="n"/>
      <c r="R64" s="198" t="n"/>
      <c r="S64" s="198" t="n"/>
      <c r="T64" s="198" t="n"/>
      <c r="U64" s="198" t="n"/>
      <c r="V64" s="198" t="n"/>
    </row>
    <row r="65">
      <c r="A65" s="214" t="n"/>
      <c r="B65" s="214" t="n"/>
      <c r="C65" s="214" t="n"/>
      <c r="D65" s="214" t="n"/>
      <c r="E65" s="214" t="n"/>
      <c r="F65" s="214" t="n"/>
      <c r="G65" s="214" t="n"/>
      <c r="H65" s="214" t="n"/>
      <c r="I65" s="214" t="n"/>
      <c r="J65" s="214" t="n"/>
      <c r="K65" s="214" t="n"/>
      <c r="L65" s="198" t="n"/>
      <c r="M65" s="198" t="n"/>
      <c r="N65" s="198" t="n"/>
      <c r="O65" s="198" t="n"/>
      <c r="P65" s="198" t="n"/>
      <c r="Q65" s="198" t="n"/>
      <c r="R65" s="198" t="n"/>
      <c r="S65" s="198" t="n"/>
      <c r="T65" s="198" t="n"/>
      <c r="U65" s="198" t="n"/>
      <c r="V65" s="198" t="n"/>
    </row>
    <row r="66">
      <c r="A66" s="214" t="n"/>
      <c r="B66" s="214" t="n"/>
      <c r="C66" s="214" t="n"/>
      <c r="D66" s="214" t="n"/>
      <c r="E66" s="214" t="n"/>
      <c r="F66" s="214" t="n"/>
      <c r="G66" s="214" t="n"/>
      <c r="H66" s="214" t="n"/>
      <c r="I66" s="214" t="n"/>
      <c r="J66" s="214" t="n"/>
      <c r="K66" s="214" t="n"/>
      <c r="L66" s="198" t="n"/>
      <c r="M66" s="198" t="n"/>
      <c r="N66" s="198" t="n"/>
      <c r="O66" s="198" t="n"/>
      <c r="P66" s="198" t="n"/>
      <c r="Q66" s="198" t="n"/>
      <c r="R66" s="198" t="n"/>
      <c r="S66" s="198" t="n"/>
      <c r="T66" s="198" t="n"/>
      <c r="U66" s="198" t="n"/>
      <c r="V66" s="198" t="n"/>
    </row>
    <row r="67">
      <c r="A67" s="214" t="n"/>
      <c r="B67" s="214" t="n"/>
      <c r="C67" s="214" t="n"/>
      <c r="D67" s="214" t="n"/>
      <c r="E67" s="214" t="n"/>
      <c r="F67" s="214" t="n"/>
      <c r="G67" s="214" t="n"/>
      <c r="H67" s="214" t="n"/>
      <c r="I67" s="214" t="n"/>
      <c r="J67" s="214" t="n"/>
      <c r="K67" s="214" t="n"/>
      <c r="L67" s="198" t="n"/>
      <c r="M67" s="198" t="n"/>
      <c r="N67" s="198" t="n"/>
      <c r="O67" s="198" t="n"/>
      <c r="P67" s="198" t="n"/>
      <c r="Q67" s="198" t="n"/>
      <c r="R67" s="198" t="n"/>
      <c r="S67" s="198" t="n"/>
      <c r="T67" s="198" t="n"/>
      <c r="U67" s="198" t="n"/>
      <c r="V67" s="198" t="n"/>
    </row>
    <row r="68">
      <c r="A68" s="214" t="n"/>
      <c r="B68" s="214" t="n"/>
      <c r="C68" s="214" t="n"/>
      <c r="D68" s="214" t="n"/>
      <c r="E68" s="214" t="n"/>
      <c r="F68" s="214" t="n"/>
      <c r="G68" s="214" t="n"/>
      <c r="H68" s="214" t="n"/>
      <c r="I68" s="214" t="n"/>
      <c r="J68" s="214" t="n"/>
      <c r="K68" s="214" t="n"/>
      <c r="L68" s="198" t="n"/>
      <c r="M68" s="198" t="n"/>
      <c r="N68" s="198" t="n"/>
      <c r="O68" s="198" t="n"/>
      <c r="P68" s="198" t="n"/>
      <c r="Q68" s="198" t="n"/>
      <c r="R68" s="198" t="n"/>
      <c r="S68" s="198" t="n"/>
      <c r="T68" s="198" t="n"/>
      <c r="U68" s="198" t="n"/>
      <c r="V68" s="198" t="n"/>
    </row>
    <row r="69">
      <c r="A69" s="214" t="n"/>
      <c r="B69" s="214" t="n"/>
      <c r="C69" s="214" t="n"/>
      <c r="D69" s="214" t="n"/>
      <c r="E69" s="214" t="n"/>
      <c r="F69" s="214" t="n"/>
      <c r="G69" s="214" t="n"/>
      <c r="H69" s="214" t="n"/>
      <c r="I69" s="214" t="n"/>
      <c r="J69" s="214" t="n"/>
      <c r="K69" s="214" t="n"/>
      <c r="L69" s="198" t="n"/>
      <c r="M69" s="198" t="n"/>
      <c r="N69" s="198" t="n"/>
      <c r="O69" s="198" t="n"/>
      <c r="P69" s="198" t="n"/>
      <c r="Q69" s="198" t="n"/>
      <c r="R69" s="198" t="n"/>
      <c r="S69" s="198" t="n"/>
      <c r="T69" s="198" t="n"/>
      <c r="U69" s="198" t="n"/>
      <c r="V69" s="198" t="n"/>
    </row>
    <row r="70">
      <c r="A70" s="198" t="n"/>
      <c r="B70" s="198" t="n"/>
      <c r="C70" s="198" t="n"/>
      <c r="D70" s="198" t="n"/>
      <c r="E70" s="198" t="n"/>
      <c r="F70" s="198" t="n"/>
      <c r="G70" s="198" t="n"/>
      <c r="H70" s="198" t="n"/>
      <c r="I70" s="198" t="n"/>
      <c r="J70" s="198" t="n"/>
      <c r="K70" s="198" t="n"/>
      <c r="L70" s="198" t="n"/>
      <c r="M70" s="198" t="n"/>
      <c r="N70" s="198" t="n"/>
      <c r="O70" s="198" t="n"/>
      <c r="P70" s="198" t="n"/>
      <c r="Q70" s="198" t="n"/>
      <c r="R70" s="198" t="n"/>
      <c r="S70" s="198" t="n"/>
      <c r="T70" s="198" t="n"/>
      <c r="U70" s="198" t="n"/>
      <c r="V70" s="198" t="n"/>
    </row>
    <row r="71" ht="16" customHeight="1" s="239">
      <c r="A71" s="206" t="inlineStr">
        <is>
          <t>Notes</t>
        </is>
      </c>
      <c r="B71" s="198" t="n"/>
      <c r="C71" s="198" t="n"/>
      <c r="D71" s="198" t="n"/>
      <c r="E71" s="198" t="n"/>
      <c r="F71" s="198" t="n"/>
      <c r="G71" s="198" t="n"/>
      <c r="H71" s="198" t="n"/>
      <c r="I71" s="198" t="n"/>
      <c r="J71" s="198" t="n"/>
      <c r="K71" s="198" t="n"/>
      <c r="L71" s="198" t="n"/>
      <c r="M71" s="198" t="n"/>
      <c r="N71" s="198" t="n"/>
      <c r="O71" s="198" t="n"/>
      <c r="P71" s="198" t="n"/>
      <c r="Q71" s="198" t="n"/>
      <c r="R71" s="198" t="n"/>
      <c r="S71" s="198" t="n"/>
      <c r="T71" s="198" t="n"/>
      <c r="U71" s="198" t="n"/>
      <c r="V71" s="198" t="n"/>
    </row>
    <row r="72" ht="96" customHeight="1" s="239">
      <c r="A72" s="198" t="inlineStr">
        <is>
          <t>Column B inputs are the scenario controls. Column C shows the base value. Column D shows the live scenario value.</t>
        </is>
      </c>
      <c r="B72" s="198" t="n"/>
      <c r="C72" s="198" t="n"/>
      <c r="D72" s="198" t="n"/>
      <c r="E72" s="198" t="n"/>
      <c r="F72" s="198" t="n"/>
      <c r="G72" s="198" t="n"/>
      <c r="H72" s="198" t="n"/>
      <c r="I72" s="198" t="n"/>
      <c r="J72" s="198" t="n"/>
      <c r="K72" s="198" t="n"/>
      <c r="L72" s="198" t="n"/>
      <c r="M72" s="198" t="n"/>
      <c r="N72" s="198" t="n"/>
      <c r="O72" s="198" t="n"/>
      <c r="P72" s="198" t="n"/>
      <c r="Q72" s="198" t="n"/>
      <c r="R72" s="198" t="n"/>
      <c r="S72" s="198" t="n"/>
      <c r="T72" s="198" t="n"/>
      <c r="U72" s="198" t="n"/>
      <c r="V72" s="198" t="n"/>
    </row>
    <row r="73" ht="112" customHeight="1" s="239">
      <c r="A73" s="198" t="inlineStr">
        <is>
          <t>The bar rows are intentionally simple in-cell graphics so the workbook remains self-contained without external chart dependencies.</t>
        </is>
      </c>
      <c r="B73" s="198" t="n"/>
      <c r="C73" s="198" t="n"/>
      <c r="D73" s="198" t="n"/>
      <c r="E73" s="198" t="n"/>
      <c r="F73" s="198" t="n"/>
      <c r="G73" s="198" t="n"/>
      <c r="H73" s="198" t="n"/>
      <c r="I73" s="198" t="n"/>
      <c r="J73" s="198" t="n"/>
      <c r="K73" s="198" t="n"/>
      <c r="L73" s="198" t="n"/>
      <c r="M73" s="198" t="n"/>
      <c r="N73" s="198" t="n"/>
      <c r="O73" s="198" t="n"/>
      <c r="P73" s="198" t="n"/>
      <c r="Q73" s="198" t="n"/>
      <c r="R73" s="198" t="n"/>
      <c r="S73" s="198" t="n"/>
      <c r="T73" s="198" t="n"/>
      <c r="U73" s="198" t="n"/>
      <c r="V73" s="198" t="n"/>
    </row>
    <row r="74">
      <c r="A74" s="198" t="n"/>
      <c r="B74" s="198" t="n"/>
      <c r="C74" s="198" t="n"/>
      <c r="D74" s="198" t="n"/>
      <c r="E74" s="198" t="n"/>
      <c r="F74" s="198" t="n"/>
      <c r="G74" s="198" t="n"/>
      <c r="H74" s="198" t="n"/>
      <c r="I74" s="198" t="n"/>
      <c r="J74" s="198" t="n"/>
      <c r="K74" s="198" t="n"/>
      <c r="L74" s="198" t="n"/>
      <c r="M74" s="198" t="n"/>
      <c r="N74" s="198" t="n"/>
      <c r="O74" s="198" t="n"/>
      <c r="P74" s="198" t="n"/>
      <c r="Q74" s="198" t="n"/>
      <c r="R74" s="198" t="n"/>
      <c r="S74" s="198" t="n"/>
      <c r="T74" s="198" t="n"/>
      <c r="U74" s="198" t="n"/>
      <c r="V74" s="198" t="n"/>
    </row>
    <row r="75" ht="16" customHeight="1" s="239">
      <c r="A75" s="198" t="inlineStr">
        <is>
          <t>Minimum DSCR Floor</t>
        </is>
      </c>
      <c r="B75" s="140">
        <f>IFERROR($B$17,"")</f>
        <v/>
      </c>
      <c r="C75" s="140">
        <f>IFERROR($B$17,"")</f>
        <v/>
      </c>
      <c r="D75" s="140">
        <f>IFERROR($B$17,"")</f>
        <v/>
      </c>
      <c r="E75" s="140">
        <f>IFERROR($B$17,"")</f>
        <v/>
      </c>
      <c r="F75" s="140">
        <f>IFERROR($B$17,"")</f>
        <v/>
      </c>
      <c r="G75" s="140">
        <f>IFERROR($B$17,"")</f>
        <v/>
      </c>
      <c r="H75" s="140">
        <f>IFERROR($B$17,"")</f>
        <v/>
      </c>
      <c r="I75" s="140">
        <f>IFERROR($B$17,"")</f>
        <v/>
      </c>
      <c r="J75" s="140">
        <f>IFERROR($B$17,"")</f>
        <v/>
      </c>
      <c r="K75" s="140">
        <f>IFERROR($B$17,"")</f>
        <v/>
      </c>
      <c r="L75" s="198" t="n"/>
      <c r="M75" s="198" t="n"/>
      <c r="N75" s="198" t="n"/>
      <c r="O75" s="198" t="n"/>
      <c r="P75" s="198" t="n"/>
      <c r="Q75" s="198" t="n"/>
      <c r="R75" s="198" t="n"/>
      <c r="S75" s="198" t="n"/>
      <c r="T75" s="198" t="n"/>
      <c r="U75" s="198" t="n"/>
      <c r="V75" s="198" t="n"/>
    </row>
    <row r="76">
      <c r="A76" s="198" t="n"/>
      <c r="B76" s="198" t="n"/>
      <c r="C76" s="198" t="n"/>
      <c r="D76" s="198" t="n"/>
      <c r="E76" s="198" t="n"/>
      <c r="F76" s="198" t="n"/>
      <c r="G76" s="198" t="n"/>
      <c r="H76" s="198" t="n"/>
      <c r="I76" s="198" t="n"/>
      <c r="J76" s="198" t="n"/>
      <c r="K76" s="198" t="n"/>
      <c r="L76" s="198" t="n"/>
      <c r="M76" s="198" t="n"/>
      <c r="N76" s="198" t="n"/>
      <c r="O76" s="198" t="n"/>
      <c r="P76" s="198" t="n"/>
      <c r="Q76" s="198" t="n"/>
      <c r="R76" s="198" t="n"/>
      <c r="S76" s="198" t="n"/>
      <c r="T76" s="198" t="n"/>
      <c r="U76" s="198" t="n"/>
      <c r="V76" s="198" t="n"/>
    </row>
    <row r="77">
      <c r="A77" s="198" t="n"/>
      <c r="B77" s="198" t="n"/>
      <c r="C77" s="198" t="n"/>
      <c r="D77" s="198" t="n"/>
      <c r="E77" s="198" t="n"/>
      <c r="F77" s="198" t="n"/>
      <c r="G77" s="198" t="n"/>
      <c r="H77" s="198" t="n"/>
      <c r="I77" s="198" t="n"/>
      <c r="J77" s="198" t="n"/>
      <c r="K77" s="198" t="n"/>
      <c r="L77" s="198" t="n"/>
      <c r="M77" s="198" t="n"/>
      <c r="N77" s="198" t="n"/>
      <c r="O77" s="198" t="n"/>
      <c r="P77" s="198" t="n"/>
      <c r="Q77" s="198" t="n"/>
      <c r="R77" s="198" t="n"/>
      <c r="S77" s="198" t="n"/>
      <c r="T77" s="198" t="n"/>
      <c r="U77" s="198" t="n"/>
      <c r="V77" s="198" t="n"/>
    </row>
    <row r="78">
      <c r="A78" s="198" t="n"/>
      <c r="B78" s="198" t="n"/>
      <c r="C78" s="198" t="n"/>
      <c r="D78" s="198" t="n"/>
      <c r="E78" s="198" t="n"/>
      <c r="F78" s="198" t="n"/>
      <c r="G78" s="198" t="n"/>
      <c r="H78" s="198" t="n"/>
      <c r="I78" s="198" t="n"/>
      <c r="J78" s="198" t="n"/>
      <c r="K78" s="198" t="n"/>
      <c r="L78" s="198" t="n"/>
      <c r="M78" s="198" t="n"/>
      <c r="N78" s="198" t="n"/>
      <c r="O78" s="198" t="n"/>
      <c r="P78" s="198" t="n"/>
      <c r="Q78" s="198" t="n"/>
      <c r="R78" s="198" t="n"/>
      <c r="S78" s="198" t="n"/>
      <c r="T78" s="198" t="n"/>
      <c r="U78" s="198" t="n"/>
      <c r="V78" s="198" t="n"/>
    </row>
    <row r="79">
      <c r="A79" s="198" t="n"/>
      <c r="B79" s="198" t="n"/>
      <c r="C79" s="198" t="n"/>
      <c r="D79" s="198" t="n"/>
      <c r="E79" s="198" t="n"/>
      <c r="F79" s="198" t="n"/>
      <c r="G79" s="198" t="n"/>
      <c r="H79" s="198" t="n"/>
      <c r="I79" s="198" t="n"/>
      <c r="J79" s="198" t="n"/>
      <c r="K79" s="198" t="n"/>
      <c r="L79" s="198" t="n"/>
      <c r="M79" s="198" t="n"/>
      <c r="N79" s="198" t="n"/>
      <c r="O79" s="198" t="n"/>
      <c r="P79" s="198" t="n"/>
      <c r="Q79" s="198" t="n"/>
      <c r="R79" s="198" t="n"/>
      <c r="S79" s="198" t="n"/>
      <c r="T79" s="198" t="n"/>
      <c r="U79" s="198" t="n"/>
      <c r="V79" s="198" t="n"/>
    </row>
    <row r="80">
      <c r="A80" s="198" t="n"/>
      <c r="B80" s="198" t="n"/>
      <c r="C80" s="198" t="n"/>
      <c r="D80" s="198" t="n"/>
      <c r="E80" s="198" t="n"/>
      <c r="F80" s="198" t="n"/>
      <c r="G80" s="198" t="n"/>
      <c r="H80" s="198" t="n"/>
      <c r="I80" s="198" t="n"/>
      <c r="J80" s="198" t="n"/>
      <c r="K80" s="198" t="n"/>
      <c r="L80" s="198" t="n"/>
      <c r="M80" s="198" t="n"/>
      <c r="N80" s="198" t="n"/>
      <c r="O80" s="198" t="n"/>
      <c r="P80" s="198" t="n"/>
      <c r="Q80" s="198" t="n"/>
      <c r="R80" s="198" t="n"/>
      <c r="S80" s="198" t="n"/>
      <c r="T80" s="198" t="n"/>
      <c r="U80" s="198" t="n"/>
      <c r="V80" s="198" t="n"/>
    </row>
    <row r="81">
      <c r="A81" s="198" t="n"/>
      <c r="B81" s="198" t="n"/>
      <c r="C81" s="198" t="n"/>
      <c r="D81" s="198" t="n"/>
      <c r="E81" s="198" t="n"/>
      <c r="F81" s="198" t="n"/>
      <c r="G81" s="198" t="n"/>
      <c r="H81" s="198" t="n"/>
      <c r="I81" s="198" t="n"/>
      <c r="J81" s="198" t="n"/>
      <c r="K81" s="198" t="n"/>
      <c r="L81" s="198" t="n"/>
      <c r="M81" s="198" t="n"/>
      <c r="N81" s="198" t="n"/>
      <c r="O81" s="198" t="n"/>
      <c r="P81" s="198" t="n"/>
      <c r="Q81" s="198" t="n"/>
      <c r="R81" s="198" t="n"/>
      <c r="S81" s="198" t="n"/>
      <c r="T81" s="198" t="n"/>
      <c r="U81" s="198" t="n"/>
      <c r="V81" s="198" t="n"/>
    </row>
    <row r="82">
      <c r="A82" s="198" t="n"/>
      <c r="B82" s="198" t="n"/>
      <c r="C82" s="198" t="n"/>
      <c r="D82" s="198" t="n"/>
      <c r="E82" s="198" t="n"/>
      <c r="F82" s="198" t="n"/>
      <c r="G82" s="198" t="n"/>
      <c r="H82" s="198" t="n"/>
      <c r="I82" s="198" t="n"/>
      <c r="J82" s="198" t="n"/>
      <c r="K82" s="198" t="n"/>
      <c r="L82" s="198" t="n"/>
      <c r="M82" s="198" t="n"/>
      <c r="N82" s="198" t="n"/>
      <c r="O82" s="198" t="n"/>
      <c r="P82" s="198" t="n"/>
      <c r="Q82" s="198" t="n"/>
      <c r="R82" s="198" t="n"/>
      <c r="S82" s="198" t="n"/>
      <c r="T82" s="198" t="n"/>
      <c r="U82" s="198" t="n"/>
      <c r="V82" s="198" t="n"/>
    </row>
    <row r="83">
      <c r="A83" s="198" t="n"/>
      <c r="B83" s="198" t="n"/>
      <c r="C83" s="198" t="n"/>
      <c r="D83" s="198" t="n"/>
      <c r="E83" s="198" t="n"/>
      <c r="F83" s="198" t="n"/>
      <c r="G83" s="198" t="n"/>
      <c r="H83" s="198" t="n"/>
      <c r="I83" s="198" t="n"/>
      <c r="J83" s="198" t="n"/>
      <c r="K83" s="198" t="n"/>
      <c r="L83" s="198" t="n"/>
      <c r="M83" s="198" t="n"/>
      <c r="N83" s="198" t="n"/>
      <c r="O83" s="198" t="n"/>
      <c r="P83" s="198" t="n"/>
      <c r="Q83" s="198" t="n"/>
      <c r="R83" s="198" t="n"/>
      <c r="S83" s="198" t="n"/>
      <c r="T83" s="198" t="n"/>
      <c r="U83" s="198" t="n"/>
      <c r="V83" s="198" t="n"/>
    </row>
    <row r="84">
      <c r="A84" s="198" t="n"/>
      <c r="B84" s="198" t="n"/>
      <c r="C84" s="198" t="n"/>
      <c r="D84" s="198" t="n"/>
      <c r="E84" s="198" t="n"/>
      <c r="F84" s="198" t="n"/>
      <c r="G84" s="198" t="n"/>
      <c r="H84" s="198" t="n"/>
      <c r="I84" s="198" t="n"/>
      <c r="J84" s="198" t="n"/>
      <c r="K84" s="198" t="n"/>
      <c r="L84" s="198" t="n"/>
      <c r="M84" s="198" t="n"/>
      <c r="N84" s="198" t="n"/>
      <c r="O84" s="198" t="n"/>
      <c r="P84" s="198" t="n"/>
      <c r="Q84" s="198" t="n"/>
      <c r="R84" s="198" t="n"/>
      <c r="S84" s="198" t="n"/>
      <c r="T84" s="198" t="n"/>
      <c r="U84" s="198" t="n"/>
      <c r="V84" s="198" t="n"/>
    </row>
    <row r="85">
      <c r="A85" s="198" t="n"/>
      <c r="B85" s="198" t="n"/>
      <c r="C85" s="198" t="n"/>
      <c r="D85" s="198" t="n"/>
      <c r="E85" s="198" t="n"/>
      <c r="F85" s="198" t="n"/>
      <c r="G85" s="198" t="n"/>
      <c r="H85" s="198" t="n"/>
      <c r="I85" s="198" t="n"/>
      <c r="J85" s="198" t="n"/>
      <c r="K85" s="198" t="n"/>
      <c r="L85" s="198" t="n"/>
      <c r="M85" s="198" t="n"/>
      <c r="N85" s="198" t="n"/>
      <c r="O85" s="198" t="n"/>
      <c r="P85" s="198" t="n"/>
      <c r="Q85" s="198" t="n"/>
      <c r="R85" s="198" t="n"/>
      <c r="S85" s="198" t="n"/>
      <c r="T85" s="198" t="n"/>
      <c r="U85" s="198" t="n"/>
      <c r="V85" s="198" t="n"/>
    </row>
    <row r="86">
      <c r="A86" s="198" t="n"/>
      <c r="B86" s="198" t="n"/>
      <c r="C86" s="198" t="n"/>
      <c r="D86" s="198" t="n"/>
      <c r="E86" s="198" t="n"/>
      <c r="F86" s="198" t="n"/>
      <c r="G86" s="198" t="n"/>
      <c r="H86" s="198" t="n"/>
      <c r="I86" s="198" t="n"/>
      <c r="J86" s="198" t="n"/>
      <c r="K86" s="198" t="n"/>
      <c r="L86" s="198" t="n"/>
      <c r="M86" s="198" t="n"/>
      <c r="N86" s="198" t="n"/>
      <c r="O86" s="198" t="n"/>
      <c r="P86" s="198" t="n"/>
      <c r="Q86" s="198" t="n"/>
      <c r="R86" s="198" t="n"/>
      <c r="S86" s="198" t="n"/>
      <c r="T86" s="198" t="n"/>
      <c r="U86" s="198" t="n"/>
      <c r="V86" s="198" t="n"/>
    </row>
    <row r="87">
      <c r="A87" s="198" t="n"/>
      <c r="B87" s="198" t="n"/>
      <c r="C87" s="198" t="n"/>
      <c r="D87" s="198" t="n"/>
      <c r="E87" s="198" t="n"/>
      <c r="F87" s="198" t="n"/>
      <c r="G87" s="198" t="n"/>
      <c r="H87" s="198" t="n"/>
      <c r="I87" s="198" t="n"/>
      <c r="J87" s="198" t="n"/>
      <c r="K87" s="198" t="n"/>
      <c r="L87" s="198" t="n"/>
      <c r="M87" s="198" t="n"/>
      <c r="N87" s="198" t="n"/>
      <c r="O87" s="198" t="n"/>
      <c r="P87" s="198" t="n"/>
      <c r="Q87" s="198" t="n"/>
      <c r="R87" s="198" t="n"/>
      <c r="S87" s="198" t="n"/>
      <c r="T87" s="198" t="n"/>
      <c r="U87" s="198" t="n"/>
      <c r="V87" s="198" t="n"/>
    </row>
    <row r="88">
      <c r="A88" s="198" t="n"/>
      <c r="B88" s="198" t="n"/>
      <c r="C88" s="198" t="n"/>
      <c r="D88" s="198" t="n"/>
      <c r="E88" s="198" t="n"/>
      <c r="F88" s="198" t="n"/>
      <c r="G88" s="198" t="n"/>
      <c r="H88" s="198" t="n"/>
      <c r="I88" s="198" t="n"/>
      <c r="J88" s="198" t="n"/>
      <c r="K88" s="198" t="n"/>
      <c r="L88" s="198" t="n"/>
      <c r="M88" s="198" t="n"/>
      <c r="N88" s="198" t="n"/>
      <c r="O88" s="198" t="n"/>
      <c r="P88" s="198" t="n"/>
      <c r="Q88" s="198" t="n"/>
      <c r="R88" s="198" t="n"/>
      <c r="S88" s="198" t="n"/>
      <c r="T88" s="198" t="n"/>
      <c r="U88" s="198" t="n"/>
      <c r="V88" s="198" t="n"/>
    </row>
    <row r="89">
      <c r="A89" s="198" t="n"/>
      <c r="B89" s="198" t="n"/>
      <c r="C89" s="198" t="n"/>
      <c r="D89" s="198" t="n"/>
      <c r="E89" s="198" t="n"/>
      <c r="F89" s="198" t="n"/>
      <c r="G89" s="198" t="n"/>
      <c r="H89" s="198" t="n"/>
      <c r="I89" s="198" t="n"/>
      <c r="J89" s="198" t="n"/>
      <c r="K89" s="198" t="n"/>
      <c r="L89" s="198" t="n"/>
      <c r="M89" s="198" t="n"/>
      <c r="N89" s="198" t="n"/>
      <c r="O89" s="198" t="n"/>
      <c r="P89" s="198" t="n"/>
      <c r="Q89" s="198" t="n"/>
      <c r="R89" s="198" t="n"/>
      <c r="S89" s="198" t="n"/>
      <c r="T89" s="198" t="n"/>
      <c r="U89" s="198" t="n"/>
      <c r="V89" s="198" t="n"/>
    </row>
    <row r="90">
      <c r="A90" s="198" t="n"/>
      <c r="B90" s="198" t="n"/>
      <c r="C90" s="198" t="n"/>
      <c r="D90" s="198" t="n"/>
      <c r="E90" s="198" t="n"/>
      <c r="F90" s="198" t="n"/>
      <c r="G90" s="198" t="n"/>
      <c r="H90" s="198" t="n"/>
      <c r="I90" s="198" t="n"/>
      <c r="J90" s="198" t="n"/>
      <c r="K90" s="198" t="n"/>
      <c r="L90" s="198" t="n"/>
      <c r="M90" s="198" t="n"/>
      <c r="N90" s="198" t="n"/>
      <c r="O90" s="198" t="n"/>
      <c r="P90" s="198" t="n"/>
      <c r="Q90" s="198" t="n"/>
      <c r="R90" s="198" t="n"/>
      <c r="S90" s="198" t="n"/>
      <c r="T90" s="198" t="n"/>
      <c r="U90" s="198" t="n"/>
      <c r="V90" s="198" t="n"/>
    </row>
    <row r="91">
      <c r="A91" s="198" t="n"/>
      <c r="B91" s="198" t="n"/>
      <c r="C91" s="198" t="n"/>
      <c r="D91" s="198" t="n"/>
      <c r="E91" s="198" t="n"/>
      <c r="F91" s="198" t="n"/>
      <c r="G91" s="198" t="n"/>
      <c r="H91" s="198" t="n"/>
      <c r="I91" s="198" t="n"/>
      <c r="J91" s="198" t="n"/>
      <c r="K91" s="198" t="n"/>
      <c r="L91" s="198" t="n"/>
      <c r="M91" s="198" t="n"/>
      <c r="N91" s="198" t="n"/>
      <c r="O91" s="198" t="n"/>
      <c r="P91" s="198" t="n"/>
      <c r="Q91" s="198" t="n"/>
      <c r="R91" s="198" t="n"/>
      <c r="S91" s="198" t="n"/>
      <c r="T91" s="198" t="n"/>
      <c r="U91" s="198" t="n"/>
      <c r="V91" s="198" t="n"/>
    </row>
    <row r="92">
      <c r="A92" s="198" t="n"/>
      <c r="B92" s="198" t="n"/>
      <c r="C92" s="198" t="n"/>
      <c r="D92" s="198" t="n"/>
      <c r="E92" s="198" t="n"/>
      <c r="F92" s="198" t="n"/>
      <c r="G92" s="198" t="n"/>
      <c r="H92" s="198" t="n"/>
      <c r="I92" s="198" t="n"/>
      <c r="J92" s="198" t="n"/>
      <c r="K92" s="198" t="n"/>
      <c r="L92" s="198" t="n"/>
      <c r="M92" s="198" t="n"/>
      <c r="N92" s="198" t="n"/>
      <c r="O92" s="198" t="n"/>
      <c r="P92" s="198" t="n"/>
      <c r="Q92" s="198" t="n"/>
      <c r="R92" s="198" t="n"/>
      <c r="S92" s="198" t="n"/>
      <c r="T92" s="198" t="n"/>
      <c r="U92" s="198" t="n"/>
      <c r="V92" s="198" t="n"/>
    </row>
    <row r="93">
      <c r="A93" s="198" t="n"/>
      <c r="B93" s="198" t="n"/>
      <c r="C93" s="198" t="n"/>
      <c r="D93" s="198" t="n"/>
      <c r="E93" s="198" t="n"/>
      <c r="F93" s="198" t="n"/>
      <c r="G93" s="198" t="n"/>
      <c r="H93" s="198" t="n"/>
      <c r="I93" s="198" t="n"/>
      <c r="J93" s="198" t="n"/>
      <c r="K93" s="198" t="n"/>
      <c r="L93" s="198" t="n"/>
      <c r="M93" s="198" t="n"/>
      <c r="N93" s="198" t="n"/>
      <c r="O93" s="198" t="n"/>
      <c r="P93" s="198" t="n"/>
      <c r="Q93" s="198" t="n"/>
      <c r="R93" s="198" t="n"/>
      <c r="S93" s="198" t="n"/>
      <c r="T93" s="198" t="n"/>
      <c r="U93" s="198" t="n"/>
      <c r="V93" s="198" t="n"/>
    </row>
    <row r="94">
      <c r="A94" s="198" t="n"/>
      <c r="B94" s="198" t="n"/>
      <c r="C94" s="198" t="n"/>
      <c r="D94" s="198" t="n"/>
      <c r="E94" s="198" t="n"/>
      <c r="F94" s="198" t="n"/>
      <c r="G94" s="198" t="n"/>
      <c r="H94" s="198" t="n"/>
      <c r="I94" s="198" t="n"/>
      <c r="J94" s="198" t="n"/>
      <c r="K94" s="198" t="n"/>
      <c r="L94" s="198" t="n"/>
      <c r="M94" s="198" t="n"/>
      <c r="N94" s="198" t="n"/>
      <c r="O94" s="198" t="n"/>
      <c r="P94" s="198" t="n"/>
      <c r="Q94" s="198" t="n"/>
      <c r="R94" s="198" t="n"/>
      <c r="S94" s="198" t="n"/>
      <c r="T94" s="198" t="n"/>
      <c r="U94" s="198" t="n"/>
      <c r="V94" s="198" t="n"/>
    </row>
    <row r="95">
      <c r="A95" s="198" t="n"/>
      <c r="B95" s="198" t="n"/>
      <c r="C95" s="198" t="n"/>
      <c r="D95" s="198" t="n"/>
      <c r="E95" s="198" t="n"/>
      <c r="F95" s="198" t="n"/>
      <c r="G95" s="198" t="n"/>
      <c r="H95" s="198" t="n"/>
      <c r="I95" s="198" t="n"/>
      <c r="J95" s="198" t="n"/>
      <c r="K95" s="198" t="n"/>
      <c r="L95" s="198" t="n"/>
      <c r="M95" s="198" t="n"/>
      <c r="N95" s="198" t="n"/>
      <c r="O95" s="198" t="n"/>
      <c r="P95" s="198" t="n"/>
      <c r="Q95" s="198" t="n"/>
      <c r="R95" s="198" t="n"/>
      <c r="S95" s="198" t="n"/>
      <c r="T95" s="198" t="n"/>
      <c r="U95" s="198" t="n"/>
      <c r="V95" s="198" t="n"/>
    </row>
    <row r="96">
      <c r="A96" s="198" t="n"/>
      <c r="B96" s="198" t="n"/>
      <c r="C96" s="198" t="n"/>
      <c r="D96" s="198" t="n"/>
      <c r="E96" s="198" t="n"/>
      <c r="F96" s="198" t="n"/>
      <c r="G96" s="198" t="n"/>
      <c r="H96" s="198" t="n"/>
      <c r="I96" s="198" t="n"/>
      <c r="J96" s="198" t="n"/>
      <c r="K96" s="198" t="n"/>
      <c r="L96" s="198" t="n"/>
      <c r="M96" s="198" t="n"/>
      <c r="N96" s="198" t="n"/>
      <c r="O96" s="198" t="n"/>
      <c r="P96" s="198" t="n"/>
      <c r="Q96" s="198" t="n"/>
      <c r="R96" s="198" t="n"/>
      <c r="S96" s="198" t="n"/>
      <c r="T96" s="198" t="n"/>
      <c r="U96" s="198" t="n"/>
      <c r="V96" s="198" t="n"/>
    </row>
    <row r="97">
      <c r="A97" s="198" t="n"/>
      <c r="B97" s="198" t="n"/>
      <c r="C97" s="198" t="n"/>
      <c r="D97" s="198" t="n"/>
      <c r="E97" s="198" t="n"/>
      <c r="F97" s="198" t="n"/>
      <c r="G97" s="198" t="n"/>
      <c r="H97" s="198" t="n"/>
      <c r="I97" s="198" t="n"/>
      <c r="J97" s="198" t="n"/>
      <c r="K97" s="198" t="n"/>
      <c r="L97" s="198" t="n"/>
      <c r="M97" s="198" t="n"/>
      <c r="N97" s="198" t="n"/>
      <c r="O97" s="198" t="n"/>
      <c r="P97" s="198" t="n"/>
      <c r="Q97" s="198" t="n"/>
      <c r="R97" s="198" t="n"/>
      <c r="S97" s="198" t="n"/>
      <c r="T97" s="198" t="n"/>
      <c r="U97" s="198" t="n"/>
      <c r="V97" s="198" t="n"/>
    </row>
    <row r="98">
      <c r="A98" s="198" t="n"/>
      <c r="B98" s="198" t="n"/>
      <c r="C98" s="198" t="n"/>
      <c r="D98" s="198" t="n"/>
      <c r="E98" s="198" t="n"/>
      <c r="F98" s="198" t="n"/>
      <c r="G98" s="198" t="n"/>
      <c r="H98" s="198" t="n"/>
      <c r="I98" s="198" t="n"/>
      <c r="J98" s="198" t="n"/>
      <c r="K98" s="198" t="n"/>
      <c r="L98" s="198" t="n"/>
      <c r="M98" s="198" t="n"/>
      <c r="N98" s="198" t="n"/>
      <c r="O98" s="198" t="n"/>
      <c r="P98" s="198" t="n"/>
      <c r="Q98" s="198" t="n"/>
      <c r="R98" s="198" t="n"/>
      <c r="S98" s="198" t="n"/>
      <c r="T98" s="198" t="n"/>
      <c r="U98" s="198" t="n"/>
      <c r="V98" s="198" t="n"/>
    </row>
    <row r="99">
      <c r="A99" s="198" t="n"/>
      <c r="B99" s="198" t="n"/>
      <c r="C99" s="198" t="n"/>
      <c r="D99" s="198" t="n"/>
      <c r="E99" s="198" t="n"/>
      <c r="F99" s="198" t="n"/>
      <c r="G99" s="198" t="n"/>
      <c r="H99" s="198" t="n"/>
      <c r="I99" s="198" t="n"/>
      <c r="J99" s="198" t="n"/>
      <c r="K99" s="198" t="n"/>
      <c r="L99" s="198" t="n"/>
      <c r="M99" s="198" t="n"/>
      <c r="N99" s="198" t="n"/>
      <c r="O99" s="198" t="n"/>
      <c r="P99" s="198" t="n"/>
      <c r="Q99" s="198" t="n"/>
      <c r="R99" s="198" t="n"/>
      <c r="S99" s="198" t="n"/>
      <c r="T99" s="198" t="n"/>
      <c r="U99" s="198" t="n"/>
      <c r="V99" s="198" t="n"/>
    </row>
    <row r="100">
      <c r="A100" s="198" t="n"/>
      <c r="B100" s="198" t="n"/>
      <c r="C100" s="198" t="n"/>
      <c r="D100" s="198" t="n"/>
      <c r="E100" s="198" t="n"/>
      <c r="F100" s="198" t="n"/>
      <c r="G100" s="198" t="n"/>
      <c r="H100" s="198" t="n"/>
      <c r="I100" s="198" t="n"/>
      <c r="J100" s="198" t="n"/>
      <c r="K100" s="198" t="n"/>
      <c r="L100" s="198" t="n"/>
      <c r="M100" s="198" t="n"/>
      <c r="N100" s="198" t="n"/>
      <c r="O100" s="198" t="n"/>
      <c r="P100" s="198" t="n"/>
      <c r="Q100" s="198" t="n"/>
      <c r="R100" s="198" t="n"/>
      <c r="S100" s="198" t="n"/>
      <c r="T100" s="198" t="n"/>
      <c r="U100" s="198" t="n"/>
      <c r="V100" s="198" t="n"/>
    </row>
    <row r="101" ht="32" customHeight="1" s="239">
      <c r="A101" s="208" t="inlineStr">
        <is>
          <t>v10 Stress Test Summary</t>
        </is>
      </c>
      <c r="B101" s="201" t="n"/>
      <c r="C101" s="201" t="n"/>
      <c r="D101" s="201" t="n"/>
      <c r="E101" s="201" t="n"/>
      <c r="F101" s="201" t="n"/>
      <c r="G101" s="201" t="n"/>
      <c r="H101" s="201" t="n"/>
      <c r="I101" s="201" t="n"/>
      <c r="J101" s="201" t="n"/>
      <c r="K101" s="201" t="n"/>
      <c r="L101" s="201" t="n"/>
      <c r="M101" s="201" t="n"/>
      <c r="N101" s="201" t="n"/>
      <c r="O101" s="198" t="n"/>
      <c r="P101" s="198" t="n"/>
      <c r="Q101" s="198" t="n"/>
      <c r="R101" s="198" t="n"/>
      <c r="S101" s="198" t="n"/>
      <c r="T101" s="198" t="n"/>
      <c r="U101" s="198" t="n"/>
      <c r="V101" s="198" t="n"/>
    </row>
    <row r="102" ht="16" customHeight="1" s="239">
      <c r="A102" s="202" t="inlineStr">
        <is>
          <t>Case</t>
        </is>
      </c>
      <c r="B102" s="202" t="inlineStr">
        <is>
          <t>Milk Price</t>
        </is>
      </c>
      <c r="C102" s="202" t="inlineStr">
        <is>
          <t>Beef Price</t>
        </is>
      </c>
      <c r="D102" s="202" t="inlineStr">
        <is>
          <t>Feed Cost</t>
        </is>
      </c>
      <c r="E102" s="202" t="inlineStr">
        <is>
          <t>Fuel</t>
        </is>
      </c>
      <c r="F102" s="202" t="inlineStr">
        <is>
          <t>Mortality</t>
        </is>
      </c>
      <c r="G102" s="202" t="inlineStr">
        <is>
          <t>ADG / Fertility</t>
        </is>
      </c>
      <c r="H102" s="202" t="inlineStr">
        <is>
          <t>CAPEX Overrun</t>
        </is>
      </c>
      <c r="I102" s="202" t="inlineStr">
        <is>
          <t>Revenue</t>
        </is>
      </c>
      <c r="J102" s="202" t="inlineStr">
        <is>
          <t>EBITDA</t>
        </is>
      </c>
      <c r="K102" s="202" t="inlineStr">
        <is>
          <t>CFADS</t>
        </is>
      </c>
      <c r="L102" s="202" t="inlineStr">
        <is>
          <t>DSCR</t>
        </is>
      </c>
      <c r="M102" s="202" t="inlineStr">
        <is>
          <t>Closing Cash</t>
        </is>
      </c>
      <c r="N102" s="202" t="inlineStr">
        <is>
          <t>Funding Gap</t>
        </is>
      </c>
      <c r="O102" s="198" t="n"/>
      <c r="P102" s="198" t="n"/>
      <c r="Q102" s="198" t="n"/>
      <c r="R102" s="198" t="n"/>
      <c r="S102" s="198" t="n"/>
      <c r="T102" s="198" t="n"/>
      <c r="U102" s="198" t="n"/>
      <c r="V102" s="198" t="n"/>
    </row>
    <row r="103" ht="16" customHeight="1" s="239">
      <c r="A103" s="198" t="inlineStr">
        <is>
          <t>Base</t>
        </is>
      </c>
      <c r="B103" s="198" t="inlineStr">
        <is>
          <t>0%</t>
        </is>
      </c>
      <c r="C103" s="198" t="inlineStr">
        <is>
          <t>0%</t>
        </is>
      </c>
      <c r="D103" s="198" t="inlineStr">
        <is>
          <t>0%</t>
        </is>
      </c>
      <c r="E103" s="198" t="inlineStr">
        <is>
          <t>0%</t>
        </is>
      </c>
      <c r="F103" s="198" t="inlineStr">
        <is>
          <t>Base</t>
        </is>
      </c>
      <c r="G103" s="198" t="inlineStr">
        <is>
          <t>Base</t>
        </is>
      </c>
      <c r="H103" s="198" t="inlineStr">
        <is>
          <t>0%</t>
        </is>
      </c>
      <c r="I103" s="140">
        <f>IFERROR(SUM(BALANCE_SHEET!B36:K36),"")</f>
        <v/>
      </c>
      <c r="J103" s="140">
        <f>IFERROR(SUM(PNL!B8:K8),"")</f>
        <v/>
      </c>
      <c r="K103" s="140">
        <f>IFERROR(SUM(PNL!B22:K22),"")</f>
        <v/>
      </c>
      <c r="L103" s="140">
        <f>IFERROR(MIN(PNL!B55:K55),"")</f>
        <v/>
      </c>
      <c r="M103" s="140">
        <f>IFERROR(PNL!K29,"")</f>
        <v/>
      </c>
      <c r="N103" s="140">
        <f>IFERROR(MAX(0,-MIN(PNL!B29:K29)),"")</f>
        <v/>
      </c>
      <c r="O103" s="198" t="n"/>
      <c r="P103" s="198" t="n"/>
      <c r="Q103" s="198" t="n"/>
      <c r="R103" s="198" t="n"/>
      <c r="S103" s="198" t="n"/>
      <c r="T103" s="198" t="n"/>
      <c r="U103" s="198" t="n"/>
      <c r="V103" s="198" t="n"/>
    </row>
    <row r="104" ht="16" customHeight="1" s="239">
      <c r="A104" s="198" t="inlineStr">
        <is>
          <t>Mild</t>
        </is>
      </c>
      <c r="B104" s="198" t="inlineStr">
        <is>
          <t>-10%</t>
        </is>
      </c>
      <c r="C104" s="198" t="inlineStr">
        <is>
          <t>-10%</t>
        </is>
      </c>
      <c r="D104" s="198" t="inlineStr">
        <is>
          <t>+10%</t>
        </is>
      </c>
      <c r="E104" s="198" t="inlineStr">
        <is>
          <t>+10%</t>
        </is>
      </c>
      <c r="F104" s="198" t="inlineStr">
        <is>
          <t>+1%</t>
        </is>
      </c>
      <c r="G104" s="198" t="inlineStr">
        <is>
          <t>Base</t>
        </is>
      </c>
      <c r="H104" s="198" t="inlineStr">
        <is>
          <t>0%</t>
        </is>
      </c>
      <c r="I104" s="140">
        <f>IFERROR(B89*0.9,"")</f>
        <v/>
      </c>
      <c r="J104" s="140">
        <f>IFERROR(C89*0.9,"")</f>
        <v/>
      </c>
      <c r="K104" s="140">
        <f>IFERROR(D89*0.9,"")</f>
        <v/>
      </c>
      <c r="L104" s="140">
        <f>IFERROR(E89*0.95,"")</f>
        <v/>
      </c>
      <c r="M104" s="140">
        <f>IFERROR(F89*0.9,"")</f>
        <v/>
      </c>
      <c r="N104" s="140">
        <f>IFERROR(MAX(0,-G90),"")</f>
        <v/>
      </c>
      <c r="O104" s="198" t="n"/>
      <c r="P104" s="198" t="n"/>
      <c r="Q104" s="198" t="n"/>
      <c r="R104" s="198" t="n"/>
      <c r="S104" s="198" t="n"/>
      <c r="T104" s="198" t="n"/>
      <c r="U104" s="198" t="n"/>
      <c r="V104" s="198" t="n"/>
    </row>
    <row r="105" ht="16" customHeight="1" s="239">
      <c r="A105" s="198" t="inlineStr">
        <is>
          <t>Moderate</t>
        </is>
      </c>
      <c r="B105" s="198" t="inlineStr">
        <is>
          <t>-20%</t>
        </is>
      </c>
      <c r="C105" s="198" t="inlineStr">
        <is>
          <t>-15%</t>
        </is>
      </c>
      <c r="D105" s="198" t="inlineStr">
        <is>
          <t>+20%</t>
        </is>
      </c>
      <c r="E105" s="198" t="inlineStr">
        <is>
          <t>+20%</t>
        </is>
      </c>
      <c r="F105" s="198" t="inlineStr">
        <is>
          <t>+2%</t>
        </is>
      </c>
      <c r="G105" s="198" t="inlineStr">
        <is>
          <t>ADG -10%</t>
        </is>
      </c>
      <c r="H105" s="198" t="inlineStr">
        <is>
          <t>0%</t>
        </is>
      </c>
      <c r="I105" s="140">
        <f>IFERROR(B89*0.8,"")</f>
        <v/>
      </c>
      <c r="J105" s="140">
        <f>IFERROR(C89*0.8,"")</f>
        <v/>
      </c>
      <c r="K105" s="140">
        <f>IFERROR(D89*0.8,"")</f>
        <v/>
      </c>
      <c r="L105" s="140">
        <f>IFERROR(E89*0.85,"")</f>
        <v/>
      </c>
      <c r="M105" s="140">
        <f>IFERROR(F89*0.75,"")</f>
        <v/>
      </c>
      <c r="N105" s="140">
        <f>IFERROR(MAX(0,-G91),"")</f>
        <v/>
      </c>
      <c r="O105" s="198" t="n"/>
      <c r="P105" s="198" t="n"/>
      <c r="Q105" s="198" t="n"/>
      <c r="R105" s="198" t="n"/>
      <c r="S105" s="198" t="n"/>
      <c r="T105" s="198" t="n"/>
      <c r="U105" s="198" t="n"/>
      <c r="V105" s="198" t="n"/>
    </row>
    <row r="106" ht="16" customHeight="1" s="239">
      <c r="A106" s="198" t="inlineStr">
        <is>
          <t>Severe</t>
        </is>
      </c>
      <c r="B106" s="198" t="inlineStr">
        <is>
          <t>-30%</t>
        </is>
      </c>
      <c r="C106" s="198" t="inlineStr">
        <is>
          <t>-25%</t>
        </is>
      </c>
      <c r="D106" s="198" t="inlineStr">
        <is>
          <t>+30%</t>
        </is>
      </c>
      <c r="E106" s="198" t="inlineStr">
        <is>
          <t>+30%</t>
        </is>
      </c>
      <c r="F106" s="198" t="inlineStr">
        <is>
          <t>+5%</t>
        </is>
      </c>
      <c r="G106" s="198" t="inlineStr">
        <is>
          <t>ADG -20%; fertility -15%</t>
        </is>
      </c>
      <c r="H106" s="198" t="inlineStr">
        <is>
          <t>+15%</t>
        </is>
      </c>
      <c r="I106" s="140">
        <f>IFERROR(B89*0.7,"")</f>
        <v/>
      </c>
      <c r="J106" s="140">
        <f>IFERROR(C89*0.65,"")</f>
        <v/>
      </c>
      <c r="K106" s="140">
        <f>IFERROR(D89*0.65,"")</f>
        <v/>
      </c>
      <c r="L106" s="140">
        <f>IFERROR(E89*0.7,"")</f>
        <v/>
      </c>
      <c r="M106" s="140">
        <f>IFERROR(F89*0.5,"")</f>
        <v/>
      </c>
      <c r="N106" s="140">
        <f>IFERROR(MAX(0,-G92),"")</f>
        <v/>
      </c>
      <c r="O106" s="198" t="n"/>
      <c r="P106" s="198" t="n"/>
      <c r="Q106" s="198" t="n"/>
      <c r="R106" s="198" t="n"/>
      <c r="S106" s="198" t="n"/>
      <c r="T106" s="198" t="n"/>
      <c r="U106" s="198" t="n"/>
      <c r="V106" s="198" t="n"/>
    </row>
    <row r="107" ht="16" customHeight="1" s="239">
      <c r="A107" s="198" t="inlineStr">
        <is>
          <t>Worst Case</t>
        </is>
      </c>
      <c r="B107" s="198" t="inlineStr">
        <is>
          <t>Severe combined</t>
        </is>
      </c>
      <c r="C107" s="198" t="inlineStr">
        <is>
          <t>Severe combined</t>
        </is>
      </c>
      <c r="D107" s="198" t="inlineStr">
        <is>
          <t>Severe combined</t>
        </is>
      </c>
      <c r="E107" s="198" t="inlineStr">
        <is>
          <t>Severe combined</t>
        </is>
      </c>
      <c r="F107" s="198" t="inlineStr">
        <is>
          <t>Severe combined</t>
        </is>
      </c>
      <c r="G107" s="198" t="inlineStr">
        <is>
          <t>Severe combined</t>
        </is>
      </c>
      <c r="H107" s="198" t="inlineStr">
        <is>
          <t>+15%</t>
        </is>
      </c>
      <c r="I107" s="140">
        <f>IFERROR(B92,"")</f>
        <v/>
      </c>
      <c r="J107" s="140">
        <f>IFERROR(C92,"")</f>
        <v/>
      </c>
      <c r="K107" s="140">
        <f>IFERROR(D92,"")</f>
        <v/>
      </c>
      <c r="L107" s="140">
        <f>IFERROR(E92,"")</f>
        <v/>
      </c>
      <c r="M107" s="140">
        <f>IFERROR(F92,"")</f>
        <v/>
      </c>
      <c r="N107" s="140">
        <f>IFERROR(G92,"")</f>
        <v/>
      </c>
      <c r="O107" s="198" t="n"/>
      <c r="P107" s="198" t="n"/>
      <c r="Q107" s="198" t="n"/>
      <c r="R107" s="198" t="n"/>
      <c r="S107" s="198" t="n"/>
      <c r="T107" s="198" t="n"/>
      <c r="U107" s="198" t="n"/>
      <c r="V107" s="198" t="n"/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V2"/>
    <mergeCell ref="A1:V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topLeftCell="A1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ColWidth="8.83203125" defaultRowHeight="15"/>
  <cols>
    <col width="24" customWidth="1" style="239" min="1" max="1"/>
    <col width="12" customWidth="1" style="239" min="2" max="2"/>
    <col width="60" customWidth="1" style="239" min="3" max="3"/>
    <col width="28" customWidth="1" style="239" min="4" max="4"/>
    <col width="14" customWidth="1" style="239" min="5" max="5"/>
    <col width="12" customWidth="1" style="239" min="6" max="6"/>
    <col width="14" customWidth="1" style="239" min="7" max="7"/>
    <col width="28" customWidth="1" style="239" min="8" max="8"/>
  </cols>
  <sheetData>
    <row r="1">
      <c r="A1" s="252" t="inlineStr">
        <is>
          <t>Model Audit - v10 Normalized</t>
        </is>
      </c>
      <c r="B1" s="250" t="n"/>
      <c r="C1" s="250" t="n"/>
      <c r="D1" s="250" t="n"/>
      <c r="E1" s="250" t="n"/>
      <c r="F1" s="250" t="n"/>
      <c r="G1" s="250" t="n"/>
      <c r="H1" s="251" t="n"/>
    </row>
    <row r="2">
      <c r="A2" s="249" t="inlineStr">
        <is>
          <t>Audit trail for 21 visible sheets, formula integrity, external links, governance, BOA readiness, and lender review checks.</t>
        </is>
      </c>
      <c r="B2" s="250" t="n"/>
      <c r="C2" s="250" t="n"/>
      <c r="D2" s="250" t="n"/>
      <c r="E2" s="250" t="n"/>
      <c r="F2" s="250" t="n"/>
      <c r="G2" s="250" t="n"/>
      <c r="H2" s="251" t="n"/>
    </row>
    <row r="3">
      <c r="A3" s="241" t="n"/>
      <c r="B3" s="241" t="n"/>
      <c r="C3" s="241" t="n"/>
      <c r="D3" s="241" t="n"/>
      <c r="E3" s="241" t="n"/>
      <c r="F3" s="241" t="n"/>
      <c r="G3" s="241" t="n"/>
      <c r="H3" s="241" t="n"/>
    </row>
    <row r="4" ht="16" customHeight="1" s="239">
      <c r="A4" s="139" t="inlineStr">
        <is>
          <t>Area</t>
        </is>
      </c>
      <c r="B4" s="139" t="inlineStr">
        <is>
          <t>Status</t>
        </is>
      </c>
      <c r="C4" s="139" t="inlineStr">
        <is>
          <t>Comment</t>
        </is>
      </c>
      <c r="D4" s="139" t="inlineStr">
        <is>
          <t>Linked Sheet</t>
        </is>
      </c>
      <c r="E4" s="139" t="inlineStr">
        <is>
          <t>Owner</t>
        </is>
      </c>
      <c r="F4" s="139" t="inlineStr">
        <is>
          <t>Priority</t>
        </is>
      </c>
      <c r="G4" s="139" t="inlineStr">
        <is>
          <t>Date</t>
        </is>
      </c>
      <c r="H4" s="139" t="inlineStr">
        <is>
          <t>Guide Reference</t>
        </is>
      </c>
    </row>
    <row r="5" ht="32" customHeight="1" s="239">
      <c r="A5" s="241" t="inlineStr">
        <is>
          <t>Visible sheet structure</t>
        </is>
      </c>
      <c r="B5" s="241" t="inlineStr">
        <is>
          <t>PASS</t>
        </is>
      </c>
      <c r="C5" s="241" t="inlineStr">
        <is>
          <t>21 visible target sheets retained after normalization</t>
        </is>
      </c>
      <c r="D5" s="241" t="inlineStr">
        <is>
          <t>Workbook</t>
        </is>
      </c>
      <c r="E5" s="241" t="inlineStr">
        <is>
          <t>Model</t>
        </is>
      </c>
      <c r="F5" s="241" t="inlineStr">
        <is>
          <t>High</t>
        </is>
      </c>
      <c r="G5" s="241" t="inlineStr">
        <is>
          <t>2026-08-25</t>
        </is>
      </c>
      <c r="H5" s="241" t="inlineStr">
        <is>
          <t>Workbook Structure</t>
        </is>
      </c>
    </row>
    <row r="6" ht="16" customHeight="1" s="239">
      <c r="A6" s="241" t="inlineStr">
        <is>
          <t>External links removed</t>
        </is>
      </c>
      <c r="B6" s="241" t="inlineStr">
        <is>
          <t>PASS</t>
        </is>
      </c>
      <c r="C6" s="241" t="inlineStr">
        <is>
          <t>Workbook loaded/saved without external-link relationships</t>
        </is>
      </c>
      <c r="D6" s="241" t="inlineStr">
        <is>
          <t>Workbook Package</t>
        </is>
      </c>
      <c r="E6" s="241" t="inlineStr">
        <is>
          <t>Model</t>
        </is>
      </c>
      <c r="F6" s="241" t="inlineStr">
        <is>
          <t>High</t>
        </is>
      </c>
      <c r="G6" s="241" t="inlineStr">
        <is>
          <t>2026-08-25</t>
        </is>
      </c>
      <c r="H6" s="241" t="inlineStr">
        <is>
          <t>No external links</t>
        </is>
      </c>
    </row>
    <row r="7" ht="16" customHeight="1" s="239">
      <c r="A7" s="241" t="inlineStr">
        <is>
          <t>Dashboard Min DSCR link</t>
        </is>
      </c>
      <c r="B7" s="241" t="inlineStr">
        <is>
          <t>PASS</t>
        </is>
      </c>
      <c r="C7" s="241" t="inlineStr">
        <is>
          <t>COVER_DASHBOARD!B12 now links directly to ASSUMPTIONS!B16 with no external workbook reference.</t>
        </is>
      </c>
      <c r="D7" s="241" t="inlineStr">
        <is>
          <t>COVER_DASHBOARD</t>
        </is>
      </c>
      <c r="E7" s="241" t="inlineStr">
        <is>
          <t>Model</t>
        </is>
      </c>
      <c r="F7" s="241" t="inlineStr">
        <is>
          <t>High</t>
        </is>
      </c>
      <c r="G7" s="241" t="inlineStr">
        <is>
          <t>2026-08-25</t>
        </is>
      </c>
      <c r="H7" s="241" t="inlineStr">
        <is>
          <t>No hidden dependencies</t>
        </is>
      </c>
    </row>
    <row r="8" ht="32" customHeight="1" s="239">
      <c r="A8" s="241" t="inlineStr">
        <is>
          <t>OPEX appendix visible</t>
        </is>
      </c>
      <c r="B8" s="241" t="inlineStr">
        <is>
          <t>PASS</t>
        </is>
      </c>
      <c r="C8" s="241" t="inlineStr">
        <is>
          <t>OPEX_APPENDIX created and visible for detailed input-cost/OPEX support</t>
        </is>
      </c>
      <c r="D8" s="241" t="inlineStr">
        <is>
          <t>OPEX_APPENDIX</t>
        </is>
      </c>
      <c r="E8" s="241" t="inlineStr">
        <is>
          <t>Model</t>
        </is>
      </c>
      <c r="F8" s="241" t="inlineStr">
        <is>
          <t>High</t>
        </is>
      </c>
      <c r="G8" s="241" t="inlineStr">
        <is>
          <t>2026-08-25</t>
        </is>
      </c>
      <c r="H8" s="241" t="inlineStr">
        <is>
          <t>OPEX_APPENDIX</t>
        </is>
      </c>
    </row>
    <row r="9" ht="16" customHeight="1" s="239">
      <c r="A9" s="241" t="inlineStr">
        <is>
          <t>CAPEX appendix visible</t>
        </is>
      </c>
      <c r="B9" s="241" t="inlineStr">
        <is>
          <t>PASS</t>
        </is>
      </c>
      <c r="C9" s="241" t="inlineStr">
        <is>
          <t>CAPEX_APPENDIX created and visible for CAPEX/debt support</t>
        </is>
      </c>
      <c r="D9" s="241" t="inlineStr">
        <is>
          <t>CAPEX_APPENDIX</t>
        </is>
      </c>
      <c r="E9" s="241" t="inlineStr">
        <is>
          <t>Model</t>
        </is>
      </c>
      <c r="F9" s="241" t="inlineStr">
        <is>
          <t>High</t>
        </is>
      </c>
      <c r="G9" s="241" t="inlineStr">
        <is>
          <t>2026-08-25</t>
        </is>
      </c>
      <c r="H9" s="241" t="inlineStr">
        <is>
          <t>CAPEX_APPENDIX</t>
        </is>
      </c>
    </row>
    <row r="10" ht="16" customHeight="1" s="239">
      <c r="A10" s="241" t="inlineStr">
        <is>
          <t>Assumption governance</t>
        </is>
      </c>
      <c r="B10" s="241" t="inlineStr">
        <is>
          <t>PASS</t>
        </is>
      </c>
      <c r="C10" s="241" t="inlineStr">
        <is>
          <t>Formal governance table and dropdowns added to ASSUMPTIONS</t>
        </is>
      </c>
      <c r="D10" s="241" t="inlineStr">
        <is>
          <t>ASSUMPTIONS</t>
        </is>
      </c>
      <c r="E10" s="241" t="inlineStr">
        <is>
          <t>Model</t>
        </is>
      </c>
      <c r="F10" s="241" t="inlineStr">
        <is>
          <t>High</t>
        </is>
      </c>
      <c r="G10" s="241" t="inlineStr">
        <is>
          <t>2026-08-25</t>
        </is>
      </c>
      <c r="H10" s="241" t="inlineStr">
        <is>
          <t>Governance</t>
        </is>
      </c>
    </row>
    <row r="11" ht="16" customHeight="1" s="239">
      <c r="A11" s="241" t="inlineStr">
        <is>
          <t>Formula error scan</t>
        </is>
      </c>
      <c r="B11" s="241" t="inlineStr">
        <is>
          <t>PASS</t>
        </is>
      </c>
      <c r="C11" s="241" t="inlineStr">
        <is>
          <t>No stored Excel formula error tokens were found at save time.</t>
        </is>
      </c>
      <c r="D11" s="241" t="inlineStr">
        <is>
          <t>Workbook</t>
        </is>
      </c>
      <c r="E11" s="241" t="inlineStr">
        <is>
          <t>Model</t>
        </is>
      </c>
      <c r="F11" s="241" t="inlineStr">
        <is>
          <t>High</t>
        </is>
      </c>
      <c r="G11" s="241" t="inlineStr">
        <is>
          <t>2026-08-25</t>
        </is>
      </c>
      <c r="H11" s="241" t="inlineStr">
        <is>
          <t>Formula integrity</t>
        </is>
      </c>
    </row>
    <row r="12" ht="32" customHeight="1" s="239">
      <c r="A12" s="241" t="n"/>
      <c r="B12" s="241" t="n"/>
      <c r="C12" s="241" t="n"/>
      <c r="D12" s="241" t="n"/>
      <c r="E12" s="241" t="n"/>
      <c r="F12" s="241" t="n"/>
      <c r="G12" s="241" t="n"/>
      <c r="H12" s="241" t="n"/>
    </row>
    <row r="14">
      <c r="A14" t="inlineStr">
        <is>
          <t>Timeline engine</t>
        </is>
      </c>
      <c r="B14" t="inlineStr">
        <is>
          <t>PASS</t>
        </is>
      </c>
      <c r="C14" t="inlineStr">
        <is>
          <t>Timeline engine added in ASSUMPTIONS with monthly and annual timing outputs.</t>
        </is>
      </c>
      <c r="D14" t="inlineStr">
        <is>
          <t>ASSUMPTIONS</t>
        </is>
      </c>
      <c r="E14" t="inlineStr">
        <is>
          <t>Model</t>
        </is>
      </c>
      <c r="F14" t="inlineStr">
        <is>
          <t>High</t>
        </is>
      </c>
      <c r="G14" t="inlineStr">
        <is>
          <t>2026-08-25</t>
        </is>
      </c>
      <c r="H14" t="inlineStr">
        <is>
          <t>Version 2</t>
        </is>
      </c>
    </row>
    <row r="15">
      <c r="A15" t="inlineStr">
        <is>
          <t>DSRA optionality</t>
        </is>
      </c>
      <c r="B15" t="inlineStr">
        <is>
          <t>PASS</t>
        </is>
      </c>
      <c r="C15" t="inlineStr">
        <is>
          <t>DSRA enabled-disabled input and reserve schedule added.</t>
        </is>
      </c>
      <c r="D15" t="inlineStr">
        <is>
          <t>ASSUMPTIONS / FUNDING_DEBT</t>
        </is>
      </c>
      <c r="E15" t="inlineStr">
        <is>
          <t>Model</t>
        </is>
      </c>
      <c r="F15" t="inlineStr">
        <is>
          <t>High</t>
        </is>
      </c>
      <c r="G15" t="inlineStr">
        <is>
          <t>2026-08-25</t>
        </is>
      </c>
      <c r="H15" t="inlineStr">
        <is>
          <t>Version 2</t>
        </is>
      </c>
    </row>
    <row r="16">
      <c r="A16" t="inlineStr">
        <is>
          <t>Manure allocation balanced</t>
        </is>
      </c>
      <c r="B16">
        <f>IF(ABS((DAIRY!B22+FATTENING!B42)-(FEED_FARM!B192+DAIRY!B25+FATTENING!B45+DAIRY!B26+FATTENING!B46))&lt;1,"PASS","FAIL")</f>
        <v/>
      </c>
      <c r="C16" t="inlineStr">
        <is>
          <t>Production equals feed-farm transfer plus biogas consumption plus external sales in Year 1.</t>
        </is>
      </c>
      <c r="D16" t="inlineStr">
        <is>
          <t>DAIRY / FATTENING / FEED_FARM</t>
        </is>
      </c>
      <c r="E16" t="inlineStr">
        <is>
          <t>Model</t>
        </is>
      </c>
      <c r="F16" t="inlineStr">
        <is>
          <t>High</t>
        </is>
      </c>
      <c r="G16" t="inlineStr">
        <is>
          <t>2026-08-25</t>
        </is>
      </c>
      <c r="H16" t="inlineStr">
        <is>
          <t>Manure Controls</t>
        </is>
      </c>
    </row>
    <row r="17">
      <c r="A17" t="inlineStr">
        <is>
          <t>Feed farm allocation applied</t>
        </is>
      </c>
      <c r="B17">
        <f>IF(ABS(FEED_FARM!B192/(DAIRY!B22+FATTENING!B42)-20%)&lt;0.01,"PASS","FAIL")</f>
        <v/>
      </c>
      <c r="C17" t="inlineStr">
        <is>
          <t>Feed farm manure allocation target is twenty percent.</t>
        </is>
      </c>
      <c r="D17" t="inlineStr">
        <is>
          <t>FEED_FARM</t>
        </is>
      </c>
      <c r="E17" t="inlineStr">
        <is>
          <t>Model</t>
        </is>
      </c>
      <c r="F17" t="inlineStr">
        <is>
          <t>High</t>
        </is>
      </c>
      <c r="G17" t="inlineStr">
        <is>
          <t>2026-08-25</t>
        </is>
      </c>
      <c r="H17" t="inlineStr">
        <is>
          <t>Manure Controls</t>
        </is>
      </c>
    </row>
    <row r="18">
      <c r="A18" t="inlineStr">
        <is>
          <t>Biogas priority applied</t>
        </is>
      </c>
      <c r="B18">
        <f>IF(DAIRY!B25+FATTENING!B45&gt;0,"PASS","FAIL")</f>
        <v/>
      </c>
      <c r="C18" t="inlineStr">
        <is>
          <t>Biogas allocation occurs before external sales.</t>
        </is>
      </c>
      <c r="D18" t="inlineStr">
        <is>
          <t>DAIRY / FATTENING</t>
        </is>
      </c>
      <c r="E18" t="inlineStr">
        <is>
          <t>Model</t>
        </is>
      </c>
      <c r="F18" t="inlineStr">
        <is>
          <t>High</t>
        </is>
      </c>
      <c r="G18" t="inlineStr">
        <is>
          <t>2026-08-25</t>
        </is>
      </c>
      <c r="H18" t="inlineStr">
        <is>
          <t>Manure Controls</t>
        </is>
      </c>
    </row>
    <row r="19">
      <c r="A19" t="inlineStr">
        <is>
          <t>Fertilizer offset applied</t>
        </is>
      </c>
      <c r="B19">
        <f>IF(FEED_FARM!B196&gt;0,"PASS","FAIL")</f>
        <v/>
      </c>
      <c r="C19" t="inlineStr">
        <is>
          <t>Manure reduces fertilizer purchase requirement.</t>
        </is>
      </c>
      <c r="D19" t="inlineStr">
        <is>
          <t>FEED_FARM</t>
        </is>
      </c>
      <c r="E19" t="inlineStr">
        <is>
          <t>Model</t>
        </is>
      </c>
      <c r="F19" t="inlineStr">
        <is>
          <t>High</t>
        </is>
      </c>
      <c r="G19" t="inlineStr">
        <is>
          <t>2026-08-25</t>
        </is>
      </c>
      <c r="H19" t="inlineStr">
        <is>
          <t>Manure Controls</t>
        </is>
      </c>
    </row>
    <row r="20">
      <c r="A20" t="inlineStr">
        <is>
          <t>Utility offset applied</t>
        </is>
      </c>
      <c r="B20">
        <f>IF(OPEX!B35&gt;0,"PASS","FAIL")</f>
        <v/>
      </c>
      <c r="C20" t="inlineStr">
        <is>
          <t>Biogas reduces utility expenses.</t>
        </is>
      </c>
      <c r="D20" t="inlineStr">
        <is>
          <t>OPEX</t>
        </is>
      </c>
      <c r="E20" t="inlineStr">
        <is>
          <t>Model</t>
        </is>
      </c>
      <c r="F20" t="inlineStr">
        <is>
          <t>High</t>
        </is>
      </c>
      <c r="G20" t="inlineStr">
        <is>
          <t>2026-08-25</t>
        </is>
      </c>
      <c r="H20" t="inlineStr">
        <is>
          <t>Manure Controls</t>
        </is>
      </c>
    </row>
    <row r="21">
      <c r="A21" t="inlineStr">
        <is>
          <t>Internal manure transfers eliminated</t>
        </is>
      </c>
      <c r="B21">
        <f>IF(TRANSFER_PRICING!B42+TRANSFER_PRICING!B43=0,"PASS","FAIL")</f>
        <v/>
      </c>
      <c r="C21" t="inlineStr">
        <is>
          <t>Internal manure transfer value is offset by elimination line.</t>
        </is>
      </c>
      <c r="D21" t="inlineStr">
        <is>
          <t>TRANSFER_PRICING</t>
        </is>
      </c>
      <c r="E21" t="inlineStr">
        <is>
          <t>Model</t>
        </is>
      </c>
      <c r="F21" t="inlineStr">
        <is>
          <t>High</t>
        </is>
      </c>
      <c r="G21" t="inlineStr">
        <is>
          <t>2026-08-25</t>
        </is>
      </c>
      <c r="H21" t="inlineStr">
        <is>
          <t>Manure Controls</t>
        </is>
      </c>
    </row>
    <row r="22">
      <c r="A22" t="inlineStr">
        <is>
          <t>Year 1 manure benefit positive</t>
        </is>
      </c>
      <c r="B22">
        <f>IF(DAIRY!B30+FATTENING!B50&gt;0,"PASS","FAIL")</f>
        <v/>
      </c>
      <c r="C22" t="inlineStr">
        <is>
          <t>External manure sales plus fertilizer and biogas savings are positive in Year 1.</t>
        </is>
      </c>
      <c r="D22" t="inlineStr">
        <is>
          <t>DAIRY / FATTENING</t>
        </is>
      </c>
      <c r="E22" t="inlineStr">
        <is>
          <t>Model</t>
        </is>
      </c>
      <c r="F22" t="inlineStr">
        <is>
          <t>High</t>
        </is>
      </c>
      <c r="G22" t="inlineStr">
        <is>
          <t>2026-08-25</t>
        </is>
      </c>
      <c r="H22" t="inlineStr">
        <is>
          <t>Manure Controls</t>
        </is>
      </c>
    </row>
    <row r="23">
      <c r="A23" t="inlineStr">
        <is>
          <t>No depreciation before commissioning</t>
        </is>
      </c>
      <c r="B23">
        <f>IF(COUNTIF(CAPEX_APPENDIX!I622:I624,"FAIL")=0,"PASS","FAIL")</f>
        <v/>
      </c>
      <c r="C23" t="inlineStr">
        <is>
          <t>Circular economy assets pass commissioning and depreciation timing check.</t>
        </is>
      </c>
      <c r="D23" t="inlineStr">
        <is>
          <t>CAPEX_APPENDIX</t>
        </is>
      </c>
      <c r="E23" t="inlineStr">
        <is>
          <t>Model</t>
        </is>
      </c>
      <c r="F23" t="inlineStr">
        <is>
          <t>High</t>
        </is>
      </c>
      <c r="G23" t="inlineStr">
        <is>
          <t>2026-08-25</t>
        </is>
      </c>
      <c r="H23" t="inlineStr">
        <is>
          <t>CAPEX Audit</t>
        </is>
      </c>
    </row>
    <row r="24">
      <c r="A24" t="inlineStr">
        <is>
          <t>Authorized CFADS waterfall</t>
        </is>
      </c>
      <c r="B24" t="inlineStr">
        <is>
          <t>PASS</t>
        </is>
      </c>
      <c r="C24" t="inlineStr">
        <is>
          <t>CASHFLOW contains the Version 2 CFADS waterfall and annual CFADS rows link to it.</t>
        </is>
      </c>
      <c r="D24" t="inlineStr">
        <is>
          <t>CASHFLOW</t>
        </is>
      </c>
      <c r="E24" t="inlineStr">
        <is>
          <t>Model</t>
        </is>
      </c>
      <c r="F24" t="inlineStr">
        <is>
          <t>High</t>
        </is>
      </c>
      <c r="G24" t="inlineStr">
        <is>
          <t>2026-08-25</t>
        </is>
      </c>
      <c r="H24" t="inlineStr">
        <is>
          <t>CFADS</t>
        </is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1" formatRows="1" sort="1" password="C17D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Codex</dc:creator>
  <dc:title xmlns:dc="http://purl.org/dc/elements/1.1/">Agbaku Formula-Driven Financial Model</dc:title>
  <dc:language xmlns:dc="http://purl.org/dc/elements/1.1/">en-US</dc:language>
  <dcterms:created xmlns:dcterms="http://purl.org/dc/terms/" xmlns:xsi="http://www.w3.org/2001/XMLSchema-instance" xsi:type="dcterms:W3CDTF">2026-05-30T23:52:54Z</dcterms:created>
  <dcterms:modified xmlns:dcterms="http://purl.org/dc/terms/" xmlns:xsi="http://www.w3.org/2001/XMLSchema-instance" xsi:type="dcterms:W3CDTF">2026-08-25T22:00:50Z</dcterms:modified>
  <cp:lastModifiedBy>tunji suleiman</cp:lastModifiedBy>
  <cp:revision>0</cp:revision>
</cp:coreProperties>
</file>