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1.xml" ContentType="application/vnd.openxmlformats-officedocument.drawing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COVER" sheetId="1" state="visible" r:id="rId1"/>
    <sheet xmlns:r="http://schemas.openxmlformats.org/officeDocument/2006/relationships" name="README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HERD_MODEL" sheetId="4" state="visible" r:id="rId4"/>
    <sheet xmlns:r="http://schemas.openxmlformats.org/officeDocument/2006/relationships" name="PRODUCTION" sheetId="5" state="visible" r:id="rId5"/>
    <sheet xmlns:r="http://schemas.openxmlformats.org/officeDocument/2006/relationships" name="INPUTS_OPERATING" sheetId="6" state="visible" r:id="rId6"/>
    <sheet xmlns:r="http://schemas.openxmlformats.org/officeDocument/2006/relationships" name="REVENUE" sheetId="7" state="visible" r:id="rId7"/>
    <sheet xmlns:r="http://schemas.openxmlformats.org/officeDocument/2006/relationships" name="OPEX" sheetId="8" state="visible" r:id="rId8"/>
    <sheet xmlns:r="http://schemas.openxmlformats.org/officeDocument/2006/relationships" name="CAPEX" sheetId="9" state="visible" r:id="rId9"/>
    <sheet xmlns:r="http://schemas.openxmlformats.org/officeDocument/2006/relationships" name="WORKING_CAPITAL" sheetId="10" state="visible" r:id="rId10"/>
    <sheet xmlns:r="http://schemas.openxmlformats.org/officeDocument/2006/relationships" name="P&amp;L" sheetId="11" state="visible" r:id="rId11"/>
    <sheet xmlns:r="http://schemas.openxmlformats.org/officeDocument/2006/relationships" name="CASH_FLOW" sheetId="12" state="visible" r:id="rId12"/>
    <sheet xmlns:r="http://schemas.openxmlformats.org/officeDocument/2006/relationships" name="DEBT_SCHEDULE" sheetId="13" state="visible" r:id="rId13"/>
    <sheet xmlns:r="http://schemas.openxmlformats.org/officeDocument/2006/relationships" name="BALANCE_SHEET" sheetId="14" state="visible" r:id="rId14"/>
    <sheet xmlns:r="http://schemas.openxmlformats.org/officeDocument/2006/relationships" name="RATIOS" sheetId="15" state="visible" r:id="rId15"/>
    <sheet xmlns:r="http://schemas.openxmlformats.org/officeDocument/2006/relationships" name="CHECKS" sheetId="16" state="visible" r:id="rId16"/>
    <sheet xmlns:r="http://schemas.openxmlformats.org/officeDocument/2006/relationships" name="BREAK-EVEN" sheetId="17" state="visible" r:id="rId17"/>
    <sheet xmlns:r="http://schemas.openxmlformats.org/officeDocument/2006/relationships" name="SCENARIO" sheetId="18" state="visible" r:id="rId18"/>
    <sheet xmlns:r="http://schemas.openxmlformats.org/officeDocument/2006/relationships" name="MODEL_AUDIT" sheetId="19" state="visible" r:id="rId19"/>
    <sheet xmlns:r="http://schemas.openxmlformats.org/officeDocument/2006/relationships" name="SENSITIVITY" sheetId="20" state="visible" r:id="rId20"/>
    <sheet xmlns:r="http://schemas.openxmlformats.org/officeDocument/2006/relationships" name="CAPEX_APPENDIX" sheetId="21" state="visible" r:id="rId21"/>
    <sheet xmlns:r="http://schemas.openxmlformats.org/officeDocument/2006/relationships" name="OPEX_APPENDIX" sheetId="22" state="visible" r:id="rId22"/>
  </sheets>
  <definedNames>
    <definedName name="_xlnm.Print_Area" localSheetId="19">'SENSITIVITY'!$A$1:$V$75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#,##0;[Red](#,##0);-"/>
    <numFmt numFmtId="165" formatCode="0.0%"/>
    <numFmt numFmtId="166" formatCode="0.00x"/>
  </numFmts>
  <fonts count="10">
    <font>
      <name val="Calibri"/>
      <sz val="11"/>
    </font>
    <font>
      <name val="Calibri"/>
      <b val="1"/>
      <color rgb="FFFFFFFF"/>
      <sz val="11"/>
    </font>
    <font>
      <name val="Calibri"/>
      <b val="1"/>
      <sz val="11"/>
    </font>
    <font>
      <b val="1"/>
      <color rgb="00FFFFFF"/>
      <sz val="13"/>
    </font>
    <font>
      <b val="1"/>
    </font>
    <font>
      <color rgb="00000000"/>
    </font>
    <font>
      <i val="1"/>
      <color rgb="005C6575"/>
    </font>
    <font>
      <b val="1"/>
      <color rgb="00FFFFFF"/>
    </font>
    <font>
      <name val="Calibri"/>
      <family val="2"/>
      <color theme="10"/>
      <sz val="12"/>
      <scheme val="minor"/>
    </font>
    <font>
      <b val="1"/>
      <color rgb="000563C1"/>
      <u val="single"/>
    </font>
  </fonts>
  <fills count="6">
    <fill>
      <patternFill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00173F5F"/>
      </patternFill>
    </fill>
    <fill>
      <patternFill patternType="solid">
        <fgColor rgb="00FFF2CC"/>
      </patternFill>
    </fill>
    <fill>
      <patternFill patternType="solid">
        <fgColor rgb="00EAF3F8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/>
    <border>
      <left style="thin">
        <color rgb="009FB0C0"/>
      </left>
      <right style="thin">
        <color rgb="009FB0C0"/>
      </right>
      <top style="thin">
        <color rgb="009FB0C0"/>
      </top>
      <bottom style="thin">
        <color rgb="009FB0C0"/>
      </bottom>
    </border>
  </borders>
  <cellStyleXfs count="2">
    <xf numFmtId="0" fontId="0" fillId="0" borderId="0"/>
    <xf numFmtId="0" fontId="8" fillId="0" borderId="0"/>
  </cellStyleXfs>
  <cellXfs count="34">
    <xf numFmtId="0" fontId="0" fillId="0" borderId="0" pivotButton="0" quotePrefix="0" xfId="0"/>
    <xf numFmtId="0" fontId="1" fillId="1" borderId="1" pivotButton="0" quotePrefix="0" xfId="0"/>
    <xf numFmtId="0" fontId="2" fillId="2" borderId="1" pivotButton="0" quotePrefix="0" xfId="0"/>
    <xf numFmtId="164" fontId="0" fillId="0" borderId="1" pivotButton="0" quotePrefix="0" xfId="0"/>
    <xf numFmtId="4" fontId="0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166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3" fillId="3" borderId="0" pivotButton="0" quotePrefix="0" xfId="0"/>
    <xf numFmtId="0" fontId="0" fillId="0" borderId="0" applyAlignment="1" pivotButton="0" quotePrefix="0" xfId="0">
      <alignment wrapText="1"/>
    </xf>
    <xf numFmtId="165" fontId="4" fillId="4" borderId="1" pivotButton="0" quotePrefix="0" xfId="0"/>
    <xf numFmtId="164" fontId="4" fillId="4" borderId="1" pivotButton="0" quotePrefix="0" xfId="0"/>
    <xf numFmtId="4" fontId="4" fillId="4" borderId="1" pivotButton="0" quotePrefix="0" xfId="0"/>
    <xf numFmtId="166" fontId="4" fillId="4" borderId="1" pivotButton="0" quotePrefix="0" xfId="0"/>
    <xf numFmtId="0" fontId="1" fillId="1" borderId="1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166" fontId="0" fillId="0" borderId="0" pivotButton="0" quotePrefix="0" xfId="0"/>
    <xf numFmtId="3" fontId="0" fillId="0" borderId="1" pivotButton="0" quotePrefix="0" xfId="0"/>
    <xf numFmtId="3" fontId="4" fillId="4" borderId="1" pivotButton="0" quotePrefix="0" xfId="0"/>
    <xf numFmtId="0" fontId="6" fillId="0" borderId="2" applyAlignment="1" pivotButton="0" quotePrefix="0" xfId="0">
      <alignment wrapText="1"/>
    </xf>
    <xf numFmtId="0" fontId="5" fillId="0" borderId="2" pivotButton="0" quotePrefix="0" xfId="0"/>
    <xf numFmtId="0" fontId="7" fillId="3" borderId="0" pivotButton="0" quotePrefix="0" xfId="0"/>
    <xf numFmtId="0" fontId="9" fillId="0" borderId="0" pivotButton="0" quotePrefix="0" xfId="1"/>
    <xf numFmtId="0" fontId="6" fillId="0" borderId="0" pivotButton="0" quotePrefix="0" xfId="0"/>
    <xf numFmtId="0" fontId="9" fillId="5" borderId="3" pivotButton="0" quotePrefix="0" xfId="1"/>
    <xf numFmtId="0" fontId="6" fillId="1" borderId="1" pivotButton="0" quotePrefix="0" xfId="0"/>
    <xf numFmtId="0" fontId="9" fillId="0" borderId="3" pivotButton="0" quotePrefix="0" xfId="1"/>
    <xf numFmtId="0" fontId="6" fillId="0" borderId="3" pivotButton="0" quotePrefix="0" xfId="0"/>
    <xf numFmtId="0" fontId="0" fillId="0" borderId="3" pivotButton="0" quotePrefix="0" xfId="0"/>
  </cellXfs>
  <cellStyles count="2">
    <cellStyle name="Normal" xfId="0" builtinId="0"/>
    <cellStyle name="Hyperlink" xfId="1" builtinId="8" hidden="0"/>
  </cellStyles>
  <dxfs count="3">
    <dxf>
      <fill>
        <patternFill patternType="solid">
          <fgColor rgb="00E7F6EC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FCE4D6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styles" Target="styles.xml" Id="rId23"/><Relationship Type="http://schemas.openxmlformats.org/officeDocument/2006/relationships/theme" Target="theme/theme1.xml" Id="rId2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Revenue: Base vs Scenario</a:t>
            </a:r>
          </a:p>
        </rich>
      </tx>
    </title>
    <plotArea>
      <lineChart>
        <grouping val="standard"/>
        <ser>
          <idx val="0"/>
          <order val="0"/>
          <tx>
            <strRef>
              <f>'SENSITIVITY'!A21</f>
            </strRef>
          </tx>
          <spPr>
            <a:ln xmlns:a="http://schemas.openxmlformats.org/drawingml/2006/main" w="25000">
              <a:solidFill>
                <a:srgbClr val="9AA7B5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'SENSITIVITY'!$B$21:$K$21</f>
            </numRef>
          </val>
        </ser>
        <ser>
          <idx val="1"/>
          <order val="1"/>
          <tx>
            <strRef>
              <f>'SENSITIVITY'!A22</f>
            </strRef>
          </tx>
          <spPr>
            <a:ln xmlns:a="http://schemas.openxmlformats.org/drawingml/2006/main" w="25000">
              <a:solidFill>
                <a:srgbClr val="173F5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'SENSITIVITY'!$B$22:$K$22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Projection 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NGN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EBITDA: Base vs Scenario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'SENSITIVITY'!A23</f>
            </strRef>
          </tx>
          <spPr>
            <a:solidFill xmlns:a="http://schemas.openxmlformats.org/drawingml/2006/main">
              <a:srgbClr val="9AA7B5"/>
            </a:solidFill>
            <a:ln xmlns:a="http://schemas.openxmlformats.org/drawingml/2006/main">
              <a:solidFill>
                <a:srgbClr val="9AA7B5"/>
              </a:solidFill>
              <a:prstDash val="solid"/>
            </a:ln>
          </spPr>
          <cat>
            <numRef>
              <f>'SENSITIVITY'!$B$20:$K$20</f>
            </numRef>
          </cat>
          <val>
            <numRef>
              <f>'SENSITIVITY'!$B$23:$K$23</f>
            </numRef>
          </val>
        </ser>
        <ser>
          <idx val="1"/>
          <order val="1"/>
          <tx>
            <strRef>
              <f>'SENSITIVITY'!A25</f>
            </strRef>
          </tx>
          <spPr>
            <a:solidFill xmlns:a="http://schemas.openxmlformats.org/drawingml/2006/main">
              <a:srgbClr val="2F9E44"/>
            </a:solidFill>
            <a:ln xmlns:a="http://schemas.openxmlformats.org/drawingml/2006/main">
              <a:solidFill>
                <a:srgbClr val="2F9E44"/>
              </a:solidFill>
              <a:prstDash val="solid"/>
            </a:ln>
          </spPr>
          <cat>
            <numRef>
              <f>'SENSITIVITY'!$B$20:$K$20</f>
            </numRef>
          </cat>
          <val>
            <numRef>
              <f>'SENSITIVITY'!$B$25:$K$25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Projection 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NGN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Cash, CFADS, And Debt Service</a:t>
            </a:r>
          </a:p>
        </rich>
      </tx>
    </title>
    <plotArea>
      <lineChart>
        <grouping val="standard"/>
        <ser>
          <idx val="0"/>
          <order val="0"/>
          <tx>
            <strRef>
              <f>'SENSITIVITY'!A36</f>
            </strRef>
          </tx>
          <spPr>
            <a:ln xmlns:a="http://schemas.openxmlformats.org/drawingml/2006/main" w="25000">
              <a:solidFill>
                <a:srgbClr val="2F9E4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'SENSITIVITY'!$B$36:$K$36</f>
            </numRef>
          </val>
        </ser>
        <ser>
          <idx val="1"/>
          <order val="1"/>
          <tx>
            <strRef>
              <f>'SENSITIVITY'!A37</f>
            </strRef>
          </tx>
          <spPr>
            <a:ln xmlns:a="http://schemas.openxmlformats.org/drawingml/2006/main" w="25000">
              <a:solidFill>
                <a:srgbClr val="C7770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'SENSITIVITY'!$B$37:$K$37</f>
            </numRef>
          </val>
        </ser>
        <ser>
          <idx val="2"/>
          <order val="2"/>
          <tx>
            <strRef>
              <f>'SENSITIVITY'!A38</f>
            </strRef>
          </tx>
          <spPr>
            <a:ln xmlns:a="http://schemas.openxmlformats.org/drawingml/2006/main" w="25000">
              <a:solidFill>
                <a:srgbClr val="173F5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'SENSITIVITY'!$B$38:$K$38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Projection 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NGN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DSCR Covenant View</a:t>
            </a:r>
          </a:p>
        </rich>
      </tx>
    </title>
    <plotArea>
      <lineChart>
        <grouping val="standard"/>
        <ser>
          <idx val="0"/>
          <order val="0"/>
          <tx>
            <strRef>
              <f>'SENSITIVITY'!A37</f>
            </strRef>
          </tx>
          <spPr>
            <a:ln xmlns:a="http://schemas.openxmlformats.org/drawingml/2006/main" w="25000">
              <a:solidFill>
                <a:srgbClr val="C7770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'SENSITIVITY'!$B$37:$K$37</f>
            </numRef>
          </val>
        </ser>
        <ser>
          <idx val="1"/>
          <order val="1"/>
          <tx>
            <strRef>
              <f>'SENSITIVITY'!A56</f>
            </strRef>
          </tx>
          <spPr>
            <a:ln xmlns:a="http://schemas.openxmlformats.org/drawingml/2006/main" w="25000">
              <a:solidFill>
                <a:srgbClr val="B42318"/>
              </a:solidFill>
              <a:prstDash val="dash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'SENSITIVITY'!$B$56:$K$56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Projection 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DSCR x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Relationship Type="http://schemas.openxmlformats.org/officeDocument/2006/relationships/image" Target="/xl/media/image1.png" Id="rId5"/><Relationship Type="http://schemas.openxmlformats.org/officeDocument/2006/relationships/image" Target="/xl/media/image2.png" Id="rId6"/><Relationship Type="http://schemas.openxmlformats.org/officeDocument/2006/relationships/image" Target="/xl/media/image3.png" Id="rId7"/><Relationship Type="http://schemas.openxmlformats.org/officeDocument/2006/relationships/image" Target="/xl/media/image4.png" Id="rId8"/></Relationships>
</file>

<file path=xl/drawings/drawing1.xml><?xml version="1.0" encoding="utf-8"?>
<wsDr xmlns="http://schemas.openxmlformats.org/drawingml/2006/spreadsheetDrawing">
  <oneCellAnchor>
    <from>
      <col>12</col>
      <colOff>0</colOff>
      <row>3</row>
      <rowOff>0</rowOff>
    </from>
    <ext cx="5760000" cy="2592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12</col>
      <colOff>0</colOff>
      <row>19</row>
      <rowOff>0</rowOff>
    </from>
    <ext cx="5760000" cy="2592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12</col>
      <colOff>0</colOff>
      <row>35</row>
      <rowOff>0</rowOff>
    </from>
    <ext cx="5760000" cy="2592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12</col>
      <colOff>0</colOff>
      <row>51</row>
      <rowOff>0</rowOff>
    </from>
    <ext cx="5760000" cy="2592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  <oneCellAnchor>
    <from>
      <col>12</col>
      <colOff>0</colOff>
      <row>3</row>
      <rowOff>0</rowOff>
    </from>
    <ext cx="6858000" cy="236220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12</col>
      <colOff>0</colOff>
      <row>21</row>
      <rowOff>0</rowOff>
    </from>
    <ext cx="6858000" cy="236220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12</col>
      <colOff>0</colOff>
      <row>39</row>
      <rowOff>0</rowOff>
    </from>
    <ext cx="6858000" cy="236220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12</col>
      <colOff>0</colOff>
      <row>57</row>
      <rowOff>0</rowOff>
    </from>
    <ext cx="6858000" cy="236220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#'OPEX'!A4" TargetMode="External" Id="rId1"/><Relationship Type="http://schemas.openxmlformats.org/officeDocument/2006/relationships/hyperlink" Target="#'OPEX_APPENDIX'!A1" TargetMode="External" Id="rId2"/><Relationship Type="http://schemas.openxmlformats.org/officeDocument/2006/relationships/hyperlink" Target="#'CAPEX'!A4" TargetMode="External" Id="rId3"/><Relationship Type="http://schemas.openxmlformats.org/officeDocument/2006/relationships/hyperlink" Target="#'CAPEX_APPENDIX'!A1" TargetMode="External" Id="rId4"/><Relationship Type="http://schemas.openxmlformats.org/officeDocument/2006/relationships/hyperlink" Target="#'SENSITIVITY'!A1" TargetMode="External" Id="rId5"/></Relationships>
</file>

<file path=xl/worksheets/_rels/sheet20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1.xml.rels><Relationships xmlns="http://schemas.openxmlformats.org/package/2006/relationships"><Relationship Type="http://schemas.openxmlformats.org/officeDocument/2006/relationships/hyperlink" Target="#'CAPEX'!A4" TargetMode="External" Id="rId1"/></Relationships>
</file>

<file path=xl/worksheets/_rels/sheet22.xml.rels><Relationships xmlns="http://schemas.openxmlformats.org/package/2006/relationships"><Relationship Type="http://schemas.openxmlformats.org/officeDocument/2006/relationships/hyperlink" Target="#'OPEX'!A4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#'OPEX_APPENDIX'!A35" TargetMode="External" Id="rId1"/><Relationship Type="http://schemas.openxmlformats.org/officeDocument/2006/relationships/hyperlink" Target="#'OPEX_APPENDIX'!A57" TargetMode="External" Id="rId2"/><Relationship Type="http://schemas.openxmlformats.org/officeDocument/2006/relationships/hyperlink" Target="#'OPEX_APPENDIX'!A73" TargetMode="External" Id="rId3"/><Relationship Type="http://schemas.openxmlformats.org/officeDocument/2006/relationships/hyperlink" Target="#'OPEX_APPENDIX'!A95" TargetMode="External" Id="rId4"/><Relationship Type="http://schemas.openxmlformats.org/officeDocument/2006/relationships/hyperlink" Target="#'OPEX_APPENDIX'!A95" TargetMode="External" Id="rId5"/><Relationship Type="http://schemas.openxmlformats.org/officeDocument/2006/relationships/hyperlink" Target="#'OPEX_APPENDIX'!A100" TargetMode="External" Id="rId6"/><Relationship Type="http://schemas.openxmlformats.org/officeDocument/2006/relationships/hyperlink" Target="#'OPEX_APPENDIX'!A107" TargetMode="External" Id="rId7"/><Relationship Type="http://schemas.openxmlformats.org/officeDocument/2006/relationships/hyperlink" Target="#'OPEX_APPENDIX'!A103" TargetMode="External" Id="rId8"/><Relationship Type="http://schemas.openxmlformats.org/officeDocument/2006/relationships/hyperlink" Target="#'OPEX_APPENDIX'!A4" TargetMode="External" Id="rId9"/><Relationship Type="http://schemas.openxmlformats.org/officeDocument/2006/relationships/hyperlink" Target="#'OPEX_APPENDIX'!A4" TargetMode="External" Id="rId10"/><Relationship Type="http://schemas.openxmlformats.org/officeDocument/2006/relationships/hyperlink" Target="#'OPEX_APPENDIX'!A4" TargetMode="External" Id="rId11"/></Relationships>
</file>

<file path=xl/worksheets/_rels/sheet9.xml.rels><Relationships xmlns="http://schemas.openxmlformats.org/package/2006/relationships"><Relationship Type="http://schemas.openxmlformats.org/officeDocument/2006/relationships/hyperlink" Target="#'CAPEX_APPENDIX'!A5" TargetMode="External" Id="rId1"/><Relationship Type="http://schemas.openxmlformats.org/officeDocument/2006/relationships/hyperlink" Target="#'CAPEX_APPENDIX'!A7" TargetMode="External" Id="rId2"/><Relationship Type="http://schemas.openxmlformats.org/officeDocument/2006/relationships/hyperlink" Target="#'CAPEX_APPENDIX'!A15" TargetMode="External" Id="rId3"/><Relationship Type="http://schemas.openxmlformats.org/officeDocument/2006/relationships/hyperlink" Target="#'CAPEX_APPENDIX'!A18" TargetMode="External" Id="rId4"/><Relationship Type="http://schemas.openxmlformats.org/officeDocument/2006/relationships/hyperlink" Target="#'CAPEX_APPENDIX'!A17" TargetMode="External" Id="rId5"/><Relationship Type="http://schemas.openxmlformats.org/officeDocument/2006/relationships/hyperlink" Target="#'CAPEX_APPENDIX'!A54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</cols>
  <sheetData>
    <row r="3">
      <c r="A3" s="1" t="inlineStr">
        <is>
          <t>AGBAKU Cattle Ranch Financial Plan/Model - Formula Driven</t>
        </is>
      </c>
    </row>
    <row r="5">
      <c r="A5" s="6" t="inlineStr">
        <is>
          <t>Purpose</t>
        </is>
      </c>
      <c r="B5" s="6" t="inlineStr">
        <is>
          <t>Self-contained formula-driven lender review workbook</t>
        </is>
      </c>
    </row>
    <row r="6">
      <c r="A6" s="6" t="inlineStr">
        <is>
          <t>Rule</t>
        </is>
      </c>
      <c r="B6" s="6" t="inlineStr">
        <is>
          <t>No external workbook links; prior legacy debt schedule excluded</t>
        </is>
      </c>
    </row>
    <row r="7">
      <c r="A7" s="6" t="inlineStr">
        <is>
          <t>How to use</t>
        </is>
      </c>
      <c r="B7" s="6" t="inlineStr">
        <is>
          <t>Change blue input/assumption cells, then recalculate the workbook</t>
        </is>
      </c>
    </row>
    <row r="8">
      <c r="A8" s="6" t="inlineStr">
        <is>
          <t>Core flow</t>
        </is>
      </c>
      <c r="B8" s="6" t="inlineStr">
        <is>
          <t>ASSUMPTIONS -&gt; HERD/PRODUCTION -&gt; REVENUE/OPEX/CAPEX -&gt; WC/DEBT -&gt; STATEMENTS/RATIOS/CHECKS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3:K8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Receivables</t>
        </is>
      </c>
      <c r="B4" s="9">
        <f>REVENUE!B8/365*ASSUMPTIONS!$B$13</f>
        <v/>
      </c>
      <c r="C4" s="9">
        <f>REVENUE!C8/365*ASSUMPTIONS!$B$13</f>
        <v/>
      </c>
      <c r="D4" s="9">
        <f>REVENUE!D8/365*ASSUMPTIONS!$B$13</f>
        <v/>
      </c>
      <c r="E4" s="9">
        <f>REVENUE!E8/365*ASSUMPTIONS!$B$13</f>
        <v/>
      </c>
      <c r="F4" s="9">
        <f>REVENUE!F8/365*ASSUMPTIONS!$B$13</f>
        <v/>
      </c>
      <c r="G4" s="9">
        <f>REVENUE!G8/365*ASSUMPTIONS!$B$13</f>
        <v/>
      </c>
      <c r="H4" s="9">
        <f>REVENUE!H8/365*ASSUMPTIONS!$B$13</f>
        <v/>
      </c>
      <c r="I4" s="9">
        <f>REVENUE!I8/365*ASSUMPTIONS!$B$13</f>
        <v/>
      </c>
      <c r="J4" s="9">
        <f>REVENUE!J8/365*ASSUMPTIONS!$B$13</f>
        <v/>
      </c>
      <c r="K4" s="9">
        <f>REVENUE!K8/365*ASSUMPTIONS!$B$13</f>
        <v/>
      </c>
    </row>
    <row r="5">
      <c r="A5" s="2" t="inlineStr">
        <is>
          <t>Inventory</t>
        </is>
      </c>
      <c r="B5" s="9">
        <f>OPEX!B14/365*ASSUMPTIONS!$B$14</f>
        <v/>
      </c>
      <c r="C5" s="9">
        <f>OPEX!C14/365*ASSUMPTIONS!$B$14</f>
        <v/>
      </c>
      <c r="D5" s="9">
        <f>OPEX!D14/365*ASSUMPTIONS!$B$14</f>
        <v/>
      </c>
      <c r="E5" s="9">
        <f>OPEX!E14/365*ASSUMPTIONS!$B$14</f>
        <v/>
      </c>
      <c r="F5" s="9">
        <f>OPEX!F14/365*ASSUMPTIONS!$B$14</f>
        <v/>
      </c>
      <c r="G5" s="9">
        <f>OPEX!G14/365*ASSUMPTIONS!$B$14</f>
        <v/>
      </c>
      <c r="H5" s="9">
        <f>OPEX!H14/365*ASSUMPTIONS!$B$14</f>
        <v/>
      </c>
      <c r="I5" s="9">
        <f>OPEX!I14/365*ASSUMPTIONS!$B$14</f>
        <v/>
      </c>
      <c r="J5" s="9">
        <f>OPEX!J14/365*ASSUMPTIONS!$B$14</f>
        <v/>
      </c>
      <c r="K5" s="9">
        <f>OPEX!K14/365*ASSUMPTIONS!$B$14</f>
        <v/>
      </c>
    </row>
    <row r="6">
      <c r="A6" s="2" t="inlineStr">
        <is>
          <t>Payables</t>
        </is>
      </c>
      <c r="B6" s="9">
        <f>OPEX!B14/365*ASSUMPTIONS!$B$15</f>
        <v/>
      </c>
      <c r="C6" s="9">
        <f>OPEX!C14/365*ASSUMPTIONS!$B$15</f>
        <v/>
      </c>
      <c r="D6" s="9">
        <f>OPEX!D14/365*ASSUMPTIONS!$B$15</f>
        <v/>
      </c>
      <c r="E6" s="9">
        <f>OPEX!E14/365*ASSUMPTIONS!$B$15</f>
        <v/>
      </c>
      <c r="F6" s="9">
        <f>OPEX!F14/365*ASSUMPTIONS!$B$15</f>
        <v/>
      </c>
      <c r="G6" s="9">
        <f>OPEX!G14/365*ASSUMPTIONS!$B$15</f>
        <v/>
      </c>
      <c r="H6" s="9">
        <f>OPEX!H14/365*ASSUMPTIONS!$B$15</f>
        <v/>
      </c>
      <c r="I6" s="9">
        <f>OPEX!I14/365*ASSUMPTIONS!$B$15</f>
        <v/>
      </c>
      <c r="J6" s="9">
        <f>OPEX!J14/365*ASSUMPTIONS!$B$15</f>
        <v/>
      </c>
      <c r="K6" s="9">
        <f>OPEX!K14/365*ASSUMPTIONS!$B$15</f>
        <v/>
      </c>
    </row>
    <row r="7">
      <c r="A7" s="2" t="inlineStr">
        <is>
          <t>NWC</t>
        </is>
      </c>
      <c r="B7" s="9">
        <f>B4+B5-B6</f>
        <v/>
      </c>
      <c r="C7" s="9">
        <f>C4+C5-C6</f>
        <v/>
      </c>
      <c r="D7" s="9">
        <f>D4+D5-D6</f>
        <v/>
      </c>
      <c r="E7" s="9">
        <f>E4+E5-E6</f>
        <v/>
      </c>
      <c r="F7" s="9">
        <f>F4+F5-F6</f>
        <v/>
      </c>
      <c r="G7" s="9">
        <f>G4+G5-G6</f>
        <v/>
      </c>
      <c r="H7" s="9">
        <f>H4+H5-H6</f>
        <v/>
      </c>
      <c r="I7" s="9">
        <f>I4+I5-I6</f>
        <v/>
      </c>
      <c r="J7" s="9">
        <f>J4+J5-J6</f>
        <v/>
      </c>
      <c r="K7" s="9">
        <f>K4+K5-K6</f>
        <v/>
      </c>
    </row>
    <row r="8">
      <c r="A8" s="2" t="inlineStr">
        <is>
          <t>Delta_NWC</t>
        </is>
      </c>
      <c r="B8" s="9">
        <f>B7</f>
        <v/>
      </c>
      <c r="C8" s="9">
        <f>C7-B7</f>
        <v/>
      </c>
      <c r="D8" s="9">
        <f>D7-C7</f>
        <v/>
      </c>
      <c r="E8" s="9">
        <f>E7-D7</f>
        <v/>
      </c>
      <c r="F8" s="9">
        <f>F7-E7</f>
        <v/>
      </c>
      <c r="G8" s="9">
        <f>G7-F7</f>
        <v/>
      </c>
      <c r="H8" s="9">
        <f>H7-G7</f>
        <v/>
      </c>
      <c r="I8" s="9">
        <f>I7-H7</f>
        <v/>
      </c>
      <c r="J8" s="9">
        <f>J7-I7</f>
        <v/>
      </c>
      <c r="K8" s="9">
        <f>K7-J7</f>
        <v/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3:K12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Total_Revenue</t>
        </is>
      </c>
      <c r="B4" s="9">
        <f>REVENUE!B8</f>
        <v/>
      </c>
      <c r="C4" s="9">
        <f>REVENUE!C8</f>
        <v/>
      </c>
      <c r="D4" s="9">
        <f>REVENUE!D8</f>
        <v/>
      </c>
      <c r="E4" s="9">
        <f>REVENUE!E8</f>
        <v/>
      </c>
      <c r="F4" s="9">
        <f>REVENUE!F8</f>
        <v/>
      </c>
      <c r="G4" s="9">
        <f>REVENUE!G8</f>
        <v/>
      </c>
      <c r="H4" s="9">
        <f>REVENUE!H8</f>
        <v/>
      </c>
      <c r="I4" s="9">
        <f>REVENUE!I8</f>
        <v/>
      </c>
      <c r="J4" s="9">
        <f>REVENUE!J8</f>
        <v/>
      </c>
      <c r="K4" s="9">
        <f>REVENUE!K8</f>
        <v/>
      </c>
    </row>
    <row r="5">
      <c r="A5" s="2" t="inlineStr">
        <is>
          <t>Total_OPEX</t>
        </is>
      </c>
      <c r="B5" s="9">
        <f>OPEX!B14</f>
        <v/>
      </c>
      <c r="C5" s="9">
        <f>OPEX!C14</f>
        <v/>
      </c>
      <c r="D5" s="9">
        <f>OPEX!D14</f>
        <v/>
      </c>
      <c r="E5" s="9">
        <f>OPEX!E14</f>
        <v/>
      </c>
      <c r="F5" s="9">
        <f>OPEX!F14</f>
        <v/>
      </c>
      <c r="G5" s="9">
        <f>OPEX!G14</f>
        <v/>
      </c>
      <c r="H5" s="9">
        <f>OPEX!H14</f>
        <v/>
      </c>
      <c r="I5" s="9">
        <f>OPEX!I14</f>
        <v/>
      </c>
      <c r="J5" s="9">
        <f>OPEX!J14</f>
        <v/>
      </c>
      <c r="K5" s="9">
        <f>OPEX!K14</f>
        <v/>
      </c>
    </row>
    <row r="6">
      <c r="A6" s="2" t="inlineStr">
        <is>
          <t>EBITDA</t>
        </is>
      </c>
      <c r="B6" s="9">
        <f>B4-B5</f>
        <v/>
      </c>
      <c r="C6" s="9">
        <f>C4-C5</f>
        <v/>
      </c>
      <c r="D6" s="9">
        <f>D4-D5</f>
        <v/>
      </c>
      <c r="E6" s="9">
        <f>E4-E5</f>
        <v/>
      </c>
      <c r="F6" s="9">
        <f>F4-F5</f>
        <v/>
      </c>
      <c r="G6" s="9">
        <f>G4-G5</f>
        <v/>
      </c>
      <c r="H6" s="9">
        <f>H4-H5</f>
        <v/>
      </c>
      <c r="I6" s="9">
        <f>I4-I5</f>
        <v/>
      </c>
      <c r="J6" s="9">
        <f>J4-J5</f>
        <v/>
      </c>
      <c r="K6" s="9">
        <f>K4-K5</f>
        <v/>
      </c>
    </row>
    <row r="7">
      <c r="A7" s="2" t="inlineStr">
        <is>
          <t>Depreciation</t>
        </is>
      </c>
      <c r="B7" s="9">
        <f>CAPEX!D11</f>
        <v/>
      </c>
      <c r="C7" s="9">
        <f>CAPEX!E11</f>
        <v/>
      </c>
      <c r="D7" s="9">
        <f>CAPEX!F11</f>
        <v/>
      </c>
      <c r="E7" s="9">
        <f>CAPEX!G11</f>
        <v/>
      </c>
      <c r="F7" s="9">
        <f>CAPEX!H11</f>
        <v/>
      </c>
      <c r="G7" s="9">
        <f>CAPEX!I11</f>
        <v/>
      </c>
      <c r="H7" s="9">
        <f>CAPEX!J11</f>
        <v/>
      </c>
      <c r="I7" s="9">
        <f>CAPEX!K11</f>
        <v/>
      </c>
      <c r="J7" s="9">
        <f>CAPEX!L11</f>
        <v/>
      </c>
      <c r="K7" s="9">
        <f>CAPEX!M11</f>
        <v/>
      </c>
    </row>
    <row r="8">
      <c r="A8" s="2" t="inlineStr">
        <is>
          <t>EBIT</t>
        </is>
      </c>
      <c r="B8" s="9">
        <f>B6-B7</f>
        <v/>
      </c>
      <c r="C8" s="9">
        <f>C6-C7</f>
        <v/>
      </c>
      <c r="D8" s="9">
        <f>D6-D7</f>
        <v/>
      </c>
      <c r="E8" s="9">
        <f>E6-E7</f>
        <v/>
      </c>
      <c r="F8" s="9">
        <f>F6-F7</f>
        <v/>
      </c>
      <c r="G8" s="9">
        <f>G6-G7</f>
        <v/>
      </c>
      <c r="H8" s="9">
        <f>H6-H7</f>
        <v/>
      </c>
      <c r="I8" s="9">
        <f>I6-I7</f>
        <v/>
      </c>
      <c r="J8" s="9">
        <f>J6-J7</f>
        <v/>
      </c>
      <c r="K8" s="9">
        <f>K6-K7</f>
        <v/>
      </c>
    </row>
    <row r="9">
      <c r="A9" s="2" t="inlineStr">
        <is>
          <t>Interest</t>
        </is>
      </c>
      <c r="B9" s="9">
        <f>DEBT_SCHEDULE!D4</f>
        <v/>
      </c>
      <c r="C9" s="9">
        <f>DEBT_SCHEDULE!D5</f>
        <v/>
      </c>
      <c r="D9" s="9">
        <f>DEBT_SCHEDULE!D6</f>
        <v/>
      </c>
      <c r="E9" s="9">
        <f>DEBT_SCHEDULE!D7</f>
        <v/>
      </c>
      <c r="F9" s="9">
        <f>DEBT_SCHEDULE!D8</f>
        <v/>
      </c>
      <c r="G9" s="9">
        <f>DEBT_SCHEDULE!D9</f>
        <v/>
      </c>
      <c r="H9" s="9">
        <f>DEBT_SCHEDULE!D10</f>
        <v/>
      </c>
      <c r="I9" s="9">
        <f>DEBT_SCHEDULE!D11</f>
        <v/>
      </c>
      <c r="J9" s="9">
        <f>DEBT_SCHEDULE!D12</f>
        <v/>
      </c>
      <c r="K9" s="9">
        <f>DEBT_SCHEDULE!D13</f>
        <v/>
      </c>
    </row>
    <row r="10">
      <c r="A10" s="2" t="inlineStr">
        <is>
          <t>PBT</t>
        </is>
      </c>
      <c r="B10" s="9">
        <f>B8-B9</f>
        <v/>
      </c>
      <c r="C10" s="9">
        <f>C8-C9</f>
        <v/>
      </c>
      <c r="D10" s="9">
        <f>D8-D9</f>
        <v/>
      </c>
      <c r="E10" s="9">
        <f>E8-E9</f>
        <v/>
      </c>
      <c r="F10" s="9">
        <f>F8-F9</f>
        <v/>
      </c>
      <c r="G10" s="9">
        <f>G8-G9</f>
        <v/>
      </c>
      <c r="H10" s="9">
        <f>H8-H9</f>
        <v/>
      </c>
      <c r="I10" s="9">
        <f>I8-I9</f>
        <v/>
      </c>
      <c r="J10" s="9">
        <f>J8-J9</f>
        <v/>
      </c>
      <c r="K10" s="9">
        <f>K8-K9</f>
        <v/>
      </c>
    </row>
    <row r="11">
      <c r="A11" s="2" t="inlineStr">
        <is>
          <t>Tax</t>
        </is>
      </c>
      <c r="B11" s="9">
        <f>MAX(0,B10*ASSUMPTIONS!$B$9)</f>
        <v/>
      </c>
      <c r="C11" s="9">
        <f>MAX(0,C10*ASSUMPTIONS!$B$9)</f>
        <v/>
      </c>
      <c r="D11" s="9">
        <f>MAX(0,D10*ASSUMPTIONS!$B$9)</f>
        <v/>
      </c>
      <c r="E11" s="9">
        <f>MAX(0,E10*ASSUMPTIONS!$B$9)</f>
        <v/>
      </c>
      <c r="F11" s="9">
        <f>MAX(0,F10*ASSUMPTIONS!$B$9)</f>
        <v/>
      </c>
      <c r="G11" s="9">
        <f>MAX(0,G10*ASSUMPTIONS!$B$9)</f>
        <v/>
      </c>
      <c r="H11" s="9">
        <f>MAX(0,H10*ASSUMPTIONS!$B$9)</f>
        <v/>
      </c>
      <c r="I11" s="9">
        <f>MAX(0,I10*ASSUMPTIONS!$B$9)</f>
        <v/>
      </c>
      <c r="J11" s="9">
        <f>MAX(0,J10*ASSUMPTIONS!$B$9)</f>
        <v/>
      </c>
      <c r="K11" s="9">
        <f>MAX(0,K10*ASSUMPTIONS!$B$9)</f>
        <v/>
      </c>
    </row>
    <row r="12">
      <c r="A12" s="2" t="inlineStr">
        <is>
          <t>PAT</t>
        </is>
      </c>
      <c r="B12" s="9">
        <f>B10-B11</f>
        <v/>
      </c>
      <c r="C12" s="9">
        <f>C10-C11</f>
        <v/>
      </c>
      <c r="D12" s="9">
        <f>D10-D11</f>
        <v/>
      </c>
      <c r="E12" s="9">
        <f>E10-E11</f>
        <v/>
      </c>
      <c r="F12" s="9">
        <f>F10-F11</f>
        <v/>
      </c>
      <c r="G12" s="9">
        <f>G10-G11</f>
        <v/>
      </c>
      <c r="H12" s="9">
        <f>H10-H11</f>
        <v/>
      </c>
      <c r="I12" s="9">
        <f>I10-I11</f>
        <v/>
      </c>
      <c r="J12" s="9">
        <f>J10-J11</f>
        <v/>
      </c>
      <c r="K12" s="9">
        <f>K10-K11</f>
        <v/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3:K14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EBITDA</t>
        </is>
      </c>
      <c r="B4" s="9">
        <f>'P&amp;L'!B6</f>
        <v/>
      </c>
      <c r="C4" s="9">
        <f>'P&amp;L'!C6</f>
        <v/>
      </c>
      <c r="D4" s="9">
        <f>'P&amp;L'!D6</f>
        <v/>
      </c>
      <c r="E4" s="9">
        <f>'P&amp;L'!E6</f>
        <v/>
      </c>
      <c r="F4" s="9">
        <f>'P&amp;L'!F6</f>
        <v/>
      </c>
      <c r="G4" s="9">
        <f>'P&amp;L'!G6</f>
        <v/>
      </c>
      <c r="H4" s="9">
        <f>'P&amp;L'!H6</f>
        <v/>
      </c>
      <c r="I4" s="9">
        <f>'P&amp;L'!I6</f>
        <v/>
      </c>
      <c r="J4" s="9">
        <f>'P&amp;L'!J6</f>
        <v/>
      </c>
      <c r="K4" s="9">
        <f>'P&amp;L'!K6</f>
        <v/>
      </c>
    </row>
    <row r="5">
      <c r="A5" s="2" t="inlineStr">
        <is>
          <t>Cash_Tax_Paid</t>
        </is>
      </c>
      <c r="B5" s="9">
        <f>'P&amp;L'!B11</f>
        <v/>
      </c>
      <c r="C5" s="9">
        <f>'P&amp;L'!C11</f>
        <v/>
      </c>
      <c r="D5" s="9">
        <f>'P&amp;L'!D11</f>
        <v/>
      </c>
      <c r="E5" s="9">
        <f>'P&amp;L'!E11</f>
        <v/>
      </c>
      <c r="F5" s="9">
        <f>'P&amp;L'!F11</f>
        <v/>
      </c>
      <c r="G5" s="9">
        <f>'P&amp;L'!G11</f>
        <v/>
      </c>
      <c r="H5" s="9">
        <f>'P&amp;L'!H11</f>
        <v/>
      </c>
      <c r="I5" s="9">
        <f>'P&amp;L'!I11</f>
        <v/>
      </c>
      <c r="J5" s="9">
        <f>'P&amp;L'!J11</f>
        <v/>
      </c>
      <c r="K5" s="9">
        <f>'P&amp;L'!K11</f>
        <v/>
      </c>
    </row>
    <row r="6">
      <c r="A6" s="2" t="inlineStr">
        <is>
          <t>Delta_NWC</t>
        </is>
      </c>
      <c r="B6" s="9">
        <f>WORKING_CAPITAL!B8</f>
        <v/>
      </c>
      <c r="C6" s="9">
        <f>WORKING_CAPITAL!C8</f>
        <v/>
      </c>
      <c r="D6" s="9">
        <f>WORKING_CAPITAL!D8</f>
        <v/>
      </c>
      <c r="E6" s="9">
        <f>WORKING_CAPITAL!E8</f>
        <v/>
      </c>
      <c r="F6" s="9">
        <f>WORKING_CAPITAL!F8</f>
        <v/>
      </c>
      <c r="G6" s="9">
        <f>WORKING_CAPITAL!G8</f>
        <v/>
      </c>
      <c r="H6" s="9">
        <f>WORKING_CAPITAL!H8</f>
        <v/>
      </c>
      <c r="I6" s="9">
        <f>WORKING_CAPITAL!I8</f>
        <v/>
      </c>
      <c r="J6" s="9">
        <f>WORKING_CAPITAL!J8</f>
        <v/>
      </c>
      <c r="K6" s="9">
        <f>WORKING_CAPITAL!K8</f>
        <v/>
      </c>
    </row>
    <row r="7">
      <c r="A7" s="2" t="inlineStr">
        <is>
          <t>CFO</t>
        </is>
      </c>
      <c r="B7" s="9">
        <f>B4-B5-B6</f>
        <v/>
      </c>
      <c r="C7" s="9">
        <f>C4-C5-C6</f>
        <v/>
      </c>
      <c r="D7" s="9">
        <f>D4-D5-D6</f>
        <v/>
      </c>
      <c r="E7" s="9">
        <f>E4-E5-E6</f>
        <v/>
      </c>
      <c r="F7" s="9">
        <f>F4-F5-F6</f>
        <v/>
      </c>
      <c r="G7" s="9">
        <f>G4-G5-G6</f>
        <v/>
      </c>
      <c r="H7" s="9">
        <f>H4-H5-H6</f>
        <v/>
      </c>
      <c r="I7" s="9">
        <f>I4-I5-I6</f>
        <v/>
      </c>
      <c r="J7" s="9">
        <f>J4-J5-J6</f>
        <v/>
      </c>
      <c r="K7" s="9">
        <f>K4-K5-K6</f>
        <v/>
      </c>
    </row>
    <row r="8">
      <c r="A8" s="2" t="inlineStr">
        <is>
          <t>Cash_CAPEX</t>
        </is>
      </c>
      <c r="B8" s="9">
        <f>CAPEX!D9-IF(B3=1,ASSUMPTIONS!$B$10,0)</f>
        <v/>
      </c>
      <c r="C8" s="9">
        <f>CAPEX!E9-IF(C3=1,ASSUMPTIONS!$B$10,0)</f>
        <v/>
      </c>
      <c r="D8" s="9">
        <f>CAPEX!F9-IF(D3=1,ASSUMPTIONS!$B$10,0)</f>
        <v/>
      </c>
      <c r="E8" s="9">
        <f>CAPEX!G9-IF(E3=1,ASSUMPTIONS!$B$10,0)</f>
        <v/>
      </c>
      <c r="F8" s="9">
        <f>CAPEX!H9-IF(F3=1,ASSUMPTIONS!$B$10,0)</f>
        <v/>
      </c>
      <c r="G8" s="9">
        <f>CAPEX!I9-IF(G3=1,ASSUMPTIONS!$B$10,0)</f>
        <v/>
      </c>
      <c r="H8" s="9">
        <f>CAPEX!J9-IF(H3=1,ASSUMPTIONS!$B$10,0)</f>
        <v/>
      </c>
      <c r="I8" s="9">
        <f>CAPEX!K9-IF(I3=1,ASSUMPTIONS!$B$10,0)</f>
        <v/>
      </c>
      <c r="J8" s="9">
        <f>CAPEX!L9-IF(J3=1,ASSUMPTIONS!$B$10,0)</f>
        <v/>
      </c>
      <c r="K8" s="9">
        <f>CAPEX!M9-IF(K3=1,ASSUMPTIONS!$B$10,0)</f>
        <v/>
      </c>
    </row>
    <row r="9">
      <c r="A9" s="2" t="inlineStr">
        <is>
          <t>CFI</t>
        </is>
      </c>
      <c r="B9" s="9">
        <f>-B8</f>
        <v/>
      </c>
      <c r="C9" s="9">
        <f>-C8</f>
        <v/>
      </c>
      <c r="D9" s="9">
        <f>-D8</f>
        <v/>
      </c>
      <c r="E9" s="9">
        <f>-E8</f>
        <v/>
      </c>
      <c r="F9" s="9">
        <f>-F8</f>
        <v/>
      </c>
      <c r="G9" s="9">
        <f>-G8</f>
        <v/>
      </c>
      <c r="H9" s="9">
        <f>-H8</f>
        <v/>
      </c>
      <c r="I9" s="9">
        <f>-I8</f>
        <v/>
      </c>
      <c r="J9" s="9">
        <f>-J8</f>
        <v/>
      </c>
      <c r="K9" s="9">
        <f>-K8</f>
        <v/>
      </c>
    </row>
    <row r="10">
      <c r="A10" s="2" t="inlineStr">
        <is>
          <t>Debt_Draw</t>
        </is>
      </c>
      <c r="B10" s="9">
        <f>IF(B3=1,ASSUMPTIONS!$B$5,0)</f>
        <v/>
      </c>
      <c r="C10" s="9">
        <f>IF(C3=1,ASSUMPTIONS!$B$5,0)</f>
        <v/>
      </c>
      <c r="D10" s="9">
        <f>IF(D3=1,ASSUMPTIONS!$B$5,0)</f>
        <v/>
      </c>
      <c r="E10" s="9">
        <f>IF(E3=1,ASSUMPTIONS!$B$5,0)</f>
        <v/>
      </c>
      <c r="F10" s="9">
        <f>IF(F3=1,ASSUMPTIONS!$B$5,0)</f>
        <v/>
      </c>
      <c r="G10" s="9">
        <f>IF(G3=1,ASSUMPTIONS!$B$5,0)</f>
        <v/>
      </c>
      <c r="H10" s="9">
        <f>IF(H3=1,ASSUMPTIONS!$B$5,0)</f>
        <v/>
      </c>
      <c r="I10" s="9">
        <f>IF(I3=1,ASSUMPTIONS!$B$5,0)</f>
        <v/>
      </c>
      <c r="J10" s="9">
        <f>IF(J3=1,ASSUMPTIONS!$B$5,0)</f>
        <v/>
      </c>
      <c r="K10" s="9">
        <f>IF(K3=1,ASSUMPTIONS!$B$5,0)</f>
        <v/>
      </c>
    </row>
    <row r="11">
      <c r="A11" s="2" t="inlineStr">
        <is>
          <t>Debt_Service</t>
        </is>
      </c>
      <c r="B11" s="9">
        <f>DEBT_SCHEDULE!G4</f>
        <v/>
      </c>
      <c r="C11" s="9">
        <f>DEBT_SCHEDULE!G5</f>
        <v/>
      </c>
      <c r="D11" s="9">
        <f>DEBT_SCHEDULE!G6</f>
        <v/>
      </c>
      <c r="E11" s="9">
        <f>DEBT_SCHEDULE!G7</f>
        <v/>
      </c>
      <c r="F11" s="9">
        <f>DEBT_SCHEDULE!G8</f>
        <v/>
      </c>
      <c r="G11" s="9">
        <f>DEBT_SCHEDULE!G9</f>
        <v/>
      </c>
      <c r="H11" s="9">
        <f>DEBT_SCHEDULE!G10</f>
        <v/>
      </c>
      <c r="I11" s="9">
        <f>DEBT_SCHEDULE!G11</f>
        <v/>
      </c>
      <c r="J11" s="9">
        <f>DEBT_SCHEDULE!G12</f>
        <v/>
      </c>
      <c r="K11" s="9">
        <f>DEBT_SCHEDULE!G13</f>
        <v/>
      </c>
    </row>
    <row r="12">
      <c r="A12" s="2" t="inlineStr">
        <is>
          <t>Cash_Equity</t>
        </is>
      </c>
      <c r="B12" s="9">
        <f>IF(B3=1,ASSUMPTIONS!$B$11,IF(B3=2,ASSUMPTIONS!$B$12,0))</f>
        <v/>
      </c>
      <c r="C12" s="9">
        <f>IF(C3=1,ASSUMPTIONS!$B$11,IF(C3=2,ASSUMPTIONS!$B$12,0))</f>
        <v/>
      </c>
      <c r="D12" s="9">
        <f>IF(D3=1,ASSUMPTIONS!$B$11,IF(D3=2,ASSUMPTIONS!$B$12,0))</f>
        <v/>
      </c>
      <c r="E12" s="9">
        <f>IF(E3=1,ASSUMPTIONS!$B$11,IF(E3=2,ASSUMPTIONS!$B$12,0))</f>
        <v/>
      </c>
      <c r="F12" s="9">
        <f>IF(F3=1,ASSUMPTIONS!$B$11,IF(F3=2,ASSUMPTIONS!$B$12,0))</f>
        <v/>
      </c>
      <c r="G12" s="9">
        <f>IF(G3=1,ASSUMPTIONS!$B$11,IF(G3=2,ASSUMPTIONS!$B$12,0))</f>
        <v/>
      </c>
      <c r="H12" s="9">
        <f>IF(H3=1,ASSUMPTIONS!$B$11,IF(H3=2,ASSUMPTIONS!$B$12,0))</f>
        <v/>
      </c>
      <c r="I12" s="9">
        <f>IF(I3=1,ASSUMPTIONS!$B$11,IF(I3=2,ASSUMPTIONS!$B$12,0))</f>
        <v/>
      </c>
      <c r="J12" s="9">
        <f>IF(J3=1,ASSUMPTIONS!$B$11,IF(J3=2,ASSUMPTIONS!$B$12,0))</f>
        <v/>
      </c>
      <c r="K12" s="9">
        <f>IF(K3=1,ASSUMPTIONS!$B$11,IF(K3=2,ASSUMPTIONS!$B$12,0))</f>
        <v/>
      </c>
    </row>
    <row r="13">
      <c r="A13" s="2" t="inlineStr">
        <is>
          <t>Net_Cash_Flow</t>
        </is>
      </c>
      <c r="B13" s="9">
        <f>B7+B9+B10-B11+B12</f>
        <v/>
      </c>
      <c r="C13" s="9">
        <f>C7+C9+C10-C11+C12</f>
        <v/>
      </c>
      <c r="D13" s="9">
        <f>D7+D9+D10-D11+D12</f>
        <v/>
      </c>
      <c r="E13" s="9">
        <f>E7+E9+E10-E11+E12</f>
        <v/>
      </c>
      <c r="F13" s="9">
        <f>F7+F9+F10-F11+F12</f>
        <v/>
      </c>
      <c r="G13" s="9">
        <f>G7+G9+G10-G11+G12</f>
        <v/>
      </c>
      <c r="H13" s="9">
        <f>H7+H9+H10-H11+H12</f>
        <v/>
      </c>
      <c r="I13" s="9">
        <f>I7+I9+I10-I11+I12</f>
        <v/>
      </c>
      <c r="J13" s="9">
        <f>J7+J9+J10-J11+J12</f>
        <v/>
      </c>
      <c r="K13" s="9">
        <f>K7+K9+K10-K11+K12</f>
        <v/>
      </c>
    </row>
    <row r="14">
      <c r="A14" s="2" t="inlineStr">
        <is>
          <t>Ending_Cash</t>
        </is>
      </c>
      <c r="B14" s="9">
        <f>B13</f>
        <v/>
      </c>
      <c r="C14" s="9">
        <f>B14+C13</f>
        <v/>
      </c>
      <c r="D14" s="9">
        <f>C14+D13</f>
        <v/>
      </c>
      <c r="E14" s="9">
        <f>D14+E13</f>
        <v/>
      </c>
      <c r="F14" s="9">
        <f>E14+F13</f>
        <v/>
      </c>
      <c r="G14" s="9">
        <f>F14+G13</f>
        <v/>
      </c>
      <c r="H14" s="9">
        <f>G14+H13</f>
        <v/>
      </c>
      <c r="I14" s="9">
        <f>H14+I13</f>
        <v/>
      </c>
      <c r="J14" s="9">
        <f>I14+J13</f>
        <v/>
      </c>
      <c r="K14" s="9">
        <f>J14+K13</f>
        <v/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3:K15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3">
      <c r="A3" s="1" t="inlineStr">
        <is>
          <t>Year</t>
        </is>
      </c>
      <c r="B3" s="1" t="inlineStr">
        <is>
          <t>Opening_Bal</t>
        </is>
      </c>
      <c r="C3" s="1" t="inlineStr">
        <is>
          <t>CFADS</t>
        </is>
      </c>
      <c r="D3" s="1" t="inlineStr">
        <is>
          <t>Interest</t>
        </is>
      </c>
      <c r="E3" s="1" t="inlineStr">
        <is>
          <t>Remaining_Term</t>
        </is>
      </c>
      <c r="F3" s="1" t="inlineStr">
        <is>
          <t>Base_Debt_Service</t>
        </is>
      </c>
      <c r="G3" s="1" t="inlineStr">
        <is>
          <t>Debt_Service</t>
        </is>
      </c>
      <c r="H3" s="1" t="inlineStr">
        <is>
          <t>Principal</t>
        </is>
      </c>
      <c r="I3" s="1" t="inlineStr">
        <is>
          <t>Closing_Bal</t>
        </is>
      </c>
      <c r="J3" s="1" t="inlineStr">
        <is>
          <t>DSCR</t>
        </is>
      </c>
      <c r="K3" s="1" t="inlineStr">
        <is>
          <t>Covenant_Flag</t>
        </is>
      </c>
    </row>
    <row r="4">
      <c r="A4" s="2" t="n">
        <v>1</v>
      </c>
      <c r="B4" s="9">
        <f>ASSUMPTIONS!$B$5</f>
        <v/>
      </c>
      <c r="C4" s="9">
        <f>CASH_FLOW!B7</f>
        <v/>
      </c>
      <c r="D4" s="9">
        <f>B4*ASSUMPTIONS!$B$6</f>
        <v/>
      </c>
      <c r="E4" s="8">
        <f>MAX(0,ASSUMPTIONS!$B$7-A4+1)</f>
        <v/>
      </c>
      <c r="F4" s="9">
        <f>IF(A4&lt;=ASSUMPTIONS!$B$8,0,IF(E4=0,0,-PMT(ASSUMPTIONS!$B$6,E4,B4)))</f>
        <v/>
      </c>
      <c r="G4" s="9">
        <f>IF(A4&lt;=ASSUMPTIONS!$B$8,0,MIN(B4+D4,F4,MAX(0,C4/ASSUMPTIONS!$B$16)))</f>
        <v/>
      </c>
      <c r="H4" s="9">
        <f>MAX(0,G4-D4)</f>
        <v/>
      </c>
      <c r="I4" s="9">
        <f>MAX(0,B4+D4-G4)</f>
        <v/>
      </c>
      <c r="J4" s="11">
        <f>IF(G4=0,"",C4/G4)</f>
        <v/>
      </c>
      <c r="K4" s="6">
        <f>IF(G4=0,"",IF(J4&lt;ASSUMPTIONS!$B$16,"BREACH","OK"))</f>
        <v/>
      </c>
    </row>
    <row r="5">
      <c r="A5" s="2" t="n">
        <v>2</v>
      </c>
      <c r="B5" s="9">
        <f>I4</f>
        <v/>
      </c>
      <c r="C5" s="9">
        <f>CASH_FLOW!C7</f>
        <v/>
      </c>
      <c r="D5" s="9">
        <f>B5*ASSUMPTIONS!$B$6</f>
        <v/>
      </c>
      <c r="E5" s="8">
        <f>MAX(0,ASSUMPTIONS!$B$7-A5+1)</f>
        <v/>
      </c>
      <c r="F5" s="9">
        <f>IF(A5&lt;=ASSUMPTIONS!$B$8,0,IF(E5=0,0,-PMT(ASSUMPTIONS!$B$6,E5,B5)))</f>
        <v/>
      </c>
      <c r="G5" s="9">
        <f>IF(A5&lt;=ASSUMPTIONS!$B$8,0,MIN(B5+D5,F5,MAX(0,C5/ASSUMPTIONS!$B$16)))</f>
        <v/>
      </c>
      <c r="H5" s="9">
        <f>MAX(0,G5-D5)</f>
        <v/>
      </c>
      <c r="I5" s="9">
        <f>MAX(0,B5+D5-G5)</f>
        <v/>
      </c>
      <c r="J5" s="11">
        <f>IF(G5=0,"",C5/G5)</f>
        <v/>
      </c>
      <c r="K5" s="6">
        <f>IF(G5=0,"",IF(J5&lt;ASSUMPTIONS!$B$16,"BREACH","OK"))</f>
        <v/>
      </c>
    </row>
    <row r="6">
      <c r="A6" s="2" t="n">
        <v>3</v>
      </c>
      <c r="B6" s="9">
        <f>I5</f>
        <v/>
      </c>
      <c r="C6" s="9">
        <f>CASH_FLOW!D7</f>
        <v/>
      </c>
      <c r="D6" s="9">
        <f>B6*ASSUMPTIONS!$B$6</f>
        <v/>
      </c>
      <c r="E6" s="8">
        <f>MAX(0,ASSUMPTIONS!$B$7-A6+1)</f>
        <v/>
      </c>
      <c r="F6" s="9">
        <f>IF(A6&lt;=ASSUMPTIONS!$B$8,0,IF(E6=0,0,-PMT(ASSUMPTIONS!$B$6,E6,B6)))</f>
        <v/>
      </c>
      <c r="G6" s="9">
        <f>IF(A6&lt;=ASSUMPTIONS!$B$8,0,MIN(B6+D6,F6,MAX(0,C6/ASSUMPTIONS!$B$16)))</f>
        <v/>
      </c>
      <c r="H6" s="9">
        <f>MAX(0,G6-D6)</f>
        <v/>
      </c>
      <c r="I6" s="9">
        <f>MAX(0,B6+D6-G6)</f>
        <v/>
      </c>
      <c r="J6" s="11">
        <f>IF(G6=0,"",C6/G6)</f>
        <v/>
      </c>
      <c r="K6" s="6">
        <f>IF(G6=0,"",IF(J6&lt;ASSUMPTIONS!$B$16,"BREACH","OK"))</f>
        <v/>
      </c>
    </row>
    <row r="7">
      <c r="A7" s="2" t="n">
        <v>4</v>
      </c>
      <c r="B7" s="9">
        <f>I6</f>
        <v/>
      </c>
      <c r="C7" s="9">
        <f>CASH_FLOW!E7</f>
        <v/>
      </c>
      <c r="D7" s="9">
        <f>B7*ASSUMPTIONS!$B$6</f>
        <v/>
      </c>
      <c r="E7" s="8">
        <f>MAX(0,ASSUMPTIONS!$B$7-A7+1)</f>
        <v/>
      </c>
      <c r="F7" s="9">
        <f>IF(A7&lt;=ASSUMPTIONS!$B$8,0,IF(E7=0,0,-PMT(ASSUMPTIONS!$B$6,E7,B7)))</f>
        <v/>
      </c>
      <c r="G7" s="9">
        <f>IF(A7&lt;=ASSUMPTIONS!$B$8,0,MIN(B7+D7,F7,MAX(0,C7/ASSUMPTIONS!$B$16)))</f>
        <v/>
      </c>
      <c r="H7" s="9">
        <f>MAX(0,G7-D7)</f>
        <v/>
      </c>
      <c r="I7" s="9">
        <f>MAX(0,B7+D7-G7)</f>
        <v/>
      </c>
      <c r="J7" s="11">
        <f>IF(G7=0,"",C7/G7)</f>
        <v/>
      </c>
      <c r="K7" s="6">
        <f>IF(G7=0,"",IF(J7&lt;ASSUMPTIONS!$B$16,"BREACH","OK"))</f>
        <v/>
      </c>
    </row>
    <row r="8">
      <c r="A8" s="2" t="n">
        <v>5</v>
      </c>
      <c r="B8" s="9">
        <f>I7</f>
        <v/>
      </c>
      <c r="C8" s="9">
        <f>CASH_FLOW!F7</f>
        <v/>
      </c>
      <c r="D8" s="9">
        <f>B8*ASSUMPTIONS!$B$6</f>
        <v/>
      </c>
      <c r="E8" s="8">
        <f>MAX(0,ASSUMPTIONS!$B$7-A8+1)</f>
        <v/>
      </c>
      <c r="F8" s="9">
        <f>IF(A8&lt;=ASSUMPTIONS!$B$8,0,IF(E8=0,0,-PMT(ASSUMPTIONS!$B$6,E8,B8)))</f>
        <v/>
      </c>
      <c r="G8" s="9">
        <f>IF(A8&lt;=ASSUMPTIONS!$B$8,0,MIN(B8+D8,F8,MAX(0,C8/ASSUMPTIONS!$B$16)))</f>
        <v/>
      </c>
      <c r="H8" s="9">
        <f>MAX(0,G8-D8)</f>
        <v/>
      </c>
      <c r="I8" s="9">
        <f>MAX(0,B8+D8-G8)</f>
        <v/>
      </c>
      <c r="J8" s="11">
        <f>IF(G8=0,"",C8/G8)</f>
        <v/>
      </c>
      <c r="K8" s="6">
        <f>IF(G8=0,"",IF(J8&lt;ASSUMPTIONS!$B$16,"BREACH","OK"))</f>
        <v/>
      </c>
    </row>
    <row r="9">
      <c r="A9" s="2" t="n">
        <v>6</v>
      </c>
      <c r="B9" s="9">
        <f>I8</f>
        <v/>
      </c>
      <c r="C9" s="9">
        <f>CASH_FLOW!G7</f>
        <v/>
      </c>
      <c r="D9" s="9">
        <f>B9*ASSUMPTIONS!$B$6</f>
        <v/>
      </c>
      <c r="E9" s="8">
        <f>MAX(0,ASSUMPTIONS!$B$7-A9+1)</f>
        <v/>
      </c>
      <c r="F9" s="9">
        <f>IF(A9&lt;=ASSUMPTIONS!$B$8,0,IF(E9=0,0,-PMT(ASSUMPTIONS!$B$6,E9,B9)))</f>
        <v/>
      </c>
      <c r="G9" s="9">
        <f>IF(A9&lt;=ASSUMPTIONS!$B$8,0,MIN(B9+D9,F9,MAX(0,C9/ASSUMPTIONS!$B$16)))</f>
        <v/>
      </c>
      <c r="H9" s="9">
        <f>MAX(0,G9-D9)</f>
        <v/>
      </c>
      <c r="I9" s="9">
        <f>MAX(0,B9+D9-G9)</f>
        <v/>
      </c>
      <c r="J9" s="11">
        <f>IF(G9=0,"",C9/G9)</f>
        <v/>
      </c>
      <c r="K9" s="6">
        <f>IF(G9=0,"",IF(J9&lt;ASSUMPTIONS!$B$16,"BREACH","OK"))</f>
        <v/>
      </c>
    </row>
    <row r="10">
      <c r="A10" s="2" t="n">
        <v>7</v>
      </c>
      <c r="B10" s="9">
        <f>I9</f>
        <v/>
      </c>
      <c r="C10" s="9">
        <f>CASH_FLOW!H7</f>
        <v/>
      </c>
      <c r="D10" s="9">
        <f>B10*ASSUMPTIONS!$B$6</f>
        <v/>
      </c>
      <c r="E10" s="8">
        <f>MAX(0,ASSUMPTIONS!$B$7-A10+1)</f>
        <v/>
      </c>
      <c r="F10" s="9">
        <f>IF(A10&lt;=ASSUMPTIONS!$B$8,0,IF(E10=0,0,-PMT(ASSUMPTIONS!$B$6,E10,B10)))</f>
        <v/>
      </c>
      <c r="G10" s="9">
        <f>IF(A10&lt;=ASSUMPTIONS!$B$8,0,MIN(B10+D10,F10,MAX(0,C10/ASSUMPTIONS!$B$16)))</f>
        <v/>
      </c>
      <c r="H10" s="9">
        <f>MAX(0,G10-D10)</f>
        <v/>
      </c>
      <c r="I10" s="9">
        <f>MAX(0,B10+D10-G10)</f>
        <v/>
      </c>
      <c r="J10" s="11">
        <f>IF(G10=0,"",C10/G10)</f>
        <v/>
      </c>
      <c r="K10" s="6">
        <f>IF(G10=0,"",IF(J10&lt;ASSUMPTIONS!$B$16,"BREACH","OK"))</f>
        <v/>
      </c>
    </row>
    <row r="11">
      <c r="A11" s="2" t="n">
        <v>8</v>
      </c>
      <c r="B11" s="9">
        <f>I10</f>
        <v/>
      </c>
      <c r="C11" s="9">
        <f>CASH_FLOW!I7</f>
        <v/>
      </c>
      <c r="D11" s="9">
        <f>B11*ASSUMPTIONS!$B$6</f>
        <v/>
      </c>
      <c r="E11" s="8">
        <f>MAX(0,ASSUMPTIONS!$B$7-A11+1)</f>
        <v/>
      </c>
      <c r="F11" s="9">
        <f>IF(A11&lt;=ASSUMPTIONS!$B$8,0,IF(E11=0,0,-PMT(ASSUMPTIONS!$B$6,E11,B11)))</f>
        <v/>
      </c>
      <c r="G11" s="9">
        <f>IF(A11&lt;=ASSUMPTIONS!$B$8,0,MIN(B11+D11,F11,MAX(0,C11/ASSUMPTIONS!$B$16)))</f>
        <v/>
      </c>
      <c r="H11" s="9">
        <f>MAX(0,G11-D11)</f>
        <v/>
      </c>
      <c r="I11" s="9">
        <f>MAX(0,B11+D11-G11)</f>
        <v/>
      </c>
      <c r="J11" s="11">
        <f>IF(G11=0,"",C11/G11)</f>
        <v/>
      </c>
      <c r="K11" s="6">
        <f>IF(G11=0,"",IF(J11&lt;ASSUMPTIONS!$B$16,"BREACH","OK"))</f>
        <v/>
      </c>
    </row>
    <row r="12">
      <c r="A12" s="2" t="n">
        <v>9</v>
      </c>
      <c r="B12" s="9">
        <f>I11</f>
        <v/>
      </c>
      <c r="C12" s="9">
        <f>CASH_FLOW!J7</f>
        <v/>
      </c>
      <c r="D12" s="9">
        <f>B12*ASSUMPTIONS!$B$6</f>
        <v/>
      </c>
      <c r="E12" s="8">
        <f>MAX(0,ASSUMPTIONS!$B$7-A12+1)</f>
        <v/>
      </c>
      <c r="F12" s="9">
        <f>IF(A12&lt;=ASSUMPTIONS!$B$8,0,IF(E12=0,0,-PMT(ASSUMPTIONS!$B$6,E12,B12)))</f>
        <v/>
      </c>
      <c r="G12" s="9">
        <f>IF(A12&lt;=ASSUMPTIONS!$B$8,0,MIN(B12+D12,F12,MAX(0,C12/ASSUMPTIONS!$B$16)))</f>
        <v/>
      </c>
      <c r="H12" s="9">
        <f>MAX(0,G12-D12)</f>
        <v/>
      </c>
      <c r="I12" s="9">
        <f>MAX(0,B12+D12-G12)</f>
        <v/>
      </c>
      <c r="J12" s="11">
        <f>IF(G12=0,"",C12/G12)</f>
        <v/>
      </c>
      <c r="K12" s="6">
        <f>IF(G12=0,"",IF(J12&lt;ASSUMPTIONS!$B$16,"BREACH","OK"))</f>
        <v/>
      </c>
    </row>
    <row r="13">
      <c r="A13" s="2" t="n">
        <v>10</v>
      </c>
      <c r="B13" s="9">
        <f>I12</f>
        <v/>
      </c>
      <c r="C13" s="9">
        <f>CASH_FLOW!K7</f>
        <v/>
      </c>
      <c r="D13" s="9">
        <f>B13*ASSUMPTIONS!$B$6</f>
        <v/>
      </c>
      <c r="E13" s="8">
        <f>MAX(0,ASSUMPTIONS!$B$7-A13+1)</f>
        <v/>
      </c>
      <c r="F13" s="9">
        <f>IF(A13&lt;=ASSUMPTIONS!$B$8,0,IF(E13=0,0,-PMT(ASSUMPTIONS!$B$6,E13,B13)))</f>
        <v/>
      </c>
      <c r="G13" s="9">
        <f>IF(A13&lt;=ASSUMPTIONS!$B$8,0,MIN(B13+D13,F13,MAX(0,C13/ASSUMPTIONS!$B$16)))</f>
        <v/>
      </c>
      <c r="H13" s="9">
        <f>MAX(0,G13-D13)</f>
        <v/>
      </c>
      <c r="I13" s="9">
        <f>MAX(0,B13+D13-G13)</f>
        <v/>
      </c>
      <c r="J13" s="11">
        <f>IF(G13=0,"",C13/G13)</f>
        <v/>
      </c>
      <c r="K13" s="6">
        <f>IF(G13=0,"",IF(J13&lt;ASSUMPTIONS!$B$16,"BREACH","OK"))</f>
        <v/>
      </c>
    </row>
    <row r="15">
      <c r="A15" s="2" t="inlineStr">
        <is>
          <t>Total</t>
        </is>
      </c>
      <c r="D15" s="9">
        <f>SUM(D4:D13)</f>
        <v/>
      </c>
      <c r="G15" s="9">
        <f>SUM(G4:G13)</f>
        <v/>
      </c>
      <c r="H15" s="9">
        <f>SUM(H4:H13)</f>
        <v/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3:K20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Cash</t>
        </is>
      </c>
      <c r="B4" s="9">
        <f>CASH_FLOW!B14</f>
        <v/>
      </c>
      <c r="C4" s="9">
        <f>CASH_FLOW!C14</f>
        <v/>
      </c>
      <c r="D4" s="9">
        <f>CASH_FLOW!D14</f>
        <v/>
      </c>
      <c r="E4" s="9">
        <f>CASH_FLOW!E14</f>
        <v/>
      </c>
      <c r="F4" s="9">
        <f>CASH_FLOW!F14</f>
        <v/>
      </c>
      <c r="G4" s="9">
        <f>CASH_FLOW!G14</f>
        <v/>
      </c>
      <c r="H4" s="9">
        <f>CASH_FLOW!H14</f>
        <v/>
      </c>
      <c r="I4" s="9">
        <f>CASH_FLOW!I14</f>
        <v/>
      </c>
      <c r="J4" s="9">
        <f>CASH_FLOW!J14</f>
        <v/>
      </c>
      <c r="K4" s="9">
        <f>CASH_FLOW!K14</f>
        <v/>
      </c>
    </row>
    <row r="5">
      <c r="A5" s="2" t="inlineStr">
        <is>
          <t>Receivables</t>
        </is>
      </c>
      <c r="B5" s="9">
        <f>WORKING_CAPITAL!B4</f>
        <v/>
      </c>
      <c r="C5" s="9">
        <f>WORKING_CAPITAL!C4</f>
        <v/>
      </c>
      <c r="D5" s="9">
        <f>WORKING_CAPITAL!D4</f>
        <v/>
      </c>
      <c r="E5" s="9">
        <f>WORKING_CAPITAL!E4</f>
        <v/>
      </c>
      <c r="F5" s="9">
        <f>WORKING_CAPITAL!F4</f>
        <v/>
      </c>
      <c r="G5" s="9">
        <f>WORKING_CAPITAL!G4</f>
        <v/>
      </c>
      <c r="H5" s="9">
        <f>WORKING_CAPITAL!H4</f>
        <v/>
      </c>
      <c r="I5" s="9">
        <f>WORKING_CAPITAL!I4</f>
        <v/>
      </c>
      <c r="J5" s="9">
        <f>WORKING_CAPITAL!J4</f>
        <v/>
      </c>
      <c r="K5" s="9">
        <f>WORKING_CAPITAL!K4</f>
        <v/>
      </c>
    </row>
    <row r="6">
      <c r="A6" s="2" t="inlineStr">
        <is>
          <t>Inventory</t>
        </is>
      </c>
      <c r="B6" s="9">
        <f>WORKING_CAPITAL!B5</f>
        <v/>
      </c>
      <c r="C6" s="9">
        <f>WORKING_CAPITAL!C5</f>
        <v/>
      </c>
      <c r="D6" s="9">
        <f>WORKING_CAPITAL!D5</f>
        <v/>
      </c>
      <c r="E6" s="9">
        <f>WORKING_CAPITAL!E5</f>
        <v/>
      </c>
      <c r="F6" s="9">
        <f>WORKING_CAPITAL!F5</f>
        <v/>
      </c>
      <c r="G6" s="9">
        <f>WORKING_CAPITAL!G5</f>
        <v/>
      </c>
      <c r="H6" s="9">
        <f>WORKING_CAPITAL!H5</f>
        <v/>
      </c>
      <c r="I6" s="9">
        <f>WORKING_CAPITAL!I5</f>
        <v/>
      </c>
      <c r="J6" s="9">
        <f>WORKING_CAPITAL!J5</f>
        <v/>
      </c>
      <c r="K6" s="9">
        <f>WORKING_CAPITAL!K5</f>
        <v/>
      </c>
    </row>
    <row r="7">
      <c r="A7" s="2" t="inlineStr">
        <is>
          <t>Net_PPE</t>
        </is>
      </c>
      <c r="B7" s="9">
        <f>CAPEX!D13</f>
        <v/>
      </c>
      <c r="C7" s="9">
        <f>CAPEX!E13</f>
        <v/>
      </c>
      <c r="D7" s="9">
        <f>CAPEX!F13</f>
        <v/>
      </c>
      <c r="E7" s="9">
        <f>CAPEX!G13</f>
        <v/>
      </c>
      <c r="F7" s="9">
        <f>CAPEX!H13</f>
        <v/>
      </c>
      <c r="G7" s="9">
        <f>CAPEX!I13</f>
        <v/>
      </c>
      <c r="H7" s="9">
        <f>CAPEX!J13</f>
        <v/>
      </c>
      <c r="I7" s="9">
        <f>CAPEX!K13</f>
        <v/>
      </c>
      <c r="J7" s="9">
        <f>CAPEX!L13</f>
        <v/>
      </c>
      <c r="K7" s="9">
        <f>CAPEX!M13</f>
        <v/>
      </c>
    </row>
    <row r="8">
      <c r="A8" s="2" t="inlineStr">
        <is>
          <t>Total_Assets</t>
        </is>
      </c>
      <c r="B8" s="9">
        <f>SUM(B4:B7)</f>
        <v/>
      </c>
      <c r="C8" s="9">
        <f>SUM(C4:C7)</f>
        <v/>
      </c>
      <c r="D8" s="9">
        <f>SUM(D4:D7)</f>
        <v/>
      </c>
      <c r="E8" s="9">
        <f>SUM(E4:E7)</f>
        <v/>
      </c>
      <c r="F8" s="9">
        <f>SUM(F4:F7)</f>
        <v/>
      </c>
      <c r="G8" s="9">
        <f>SUM(G4:G7)</f>
        <v/>
      </c>
      <c r="H8" s="9">
        <f>SUM(H4:H7)</f>
        <v/>
      </c>
      <c r="I8" s="9">
        <f>SUM(I4:I7)</f>
        <v/>
      </c>
      <c r="J8" s="9">
        <f>SUM(J4:J7)</f>
        <v/>
      </c>
      <c r="K8" s="9">
        <f>SUM(K4:K7)</f>
        <v/>
      </c>
    </row>
    <row r="10">
      <c r="A10" s="2" t="inlineStr">
        <is>
          <t>Liabilities</t>
        </is>
      </c>
    </row>
    <row r="11">
      <c r="A11" s="2" t="inlineStr">
        <is>
          <t>Payables</t>
        </is>
      </c>
      <c r="B11" s="9">
        <f>WORKING_CAPITAL!B6</f>
        <v/>
      </c>
      <c r="C11" s="9">
        <f>WORKING_CAPITAL!C6</f>
        <v/>
      </c>
      <c r="D11" s="9">
        <f>WORKING_CAPITAL!D6</f>
        <v/>
      </c>
      <c r="E11" s="9">
        <f>WORKING_CAPITAL!E6</f>
        <v/>
      </c>
      <c r="F11" s="9">
        <f>WORKING_CAPITAL!F6</f>
        <v/>
      </c>
      <c r="G11" s="9">
        <f>WORKING_CAPITAL!G6</f>
        <v/>
      </c>
      <c r="H11" s="9">
        <f>WORKING_CAPITAL!H6</f>
        <v/>
      </c>
      <c r="I11" s="9">
        <f>WORKING_CAPITAL!I6</f>
        <v/>
      </c>
      <c r="J11" s="9">
        <f>WORKING_CAPITAL!J6</f>
        <v/>
      </c>
      <c r="K11" s="9">
        <f>WORKING_CAPITAL!K6</f>
        <v/>
      </c>
    </row>
    <row r="12">
      <c r="A12" s="2" t="inlineStr">
        <is>
          <t>Loan_Balance</t>
        </is>
      </c>
      <c r="B12" s="9">
        <f>DEBT_SCHEDULE!I4</f>
        <v/>
      </c>
      <c r="C12" s="9">
        <f>DEBT_SCHEDULE!I5</f>
        <v/>
      </c>
      <c r="D12" s="9">
        <f>DEBT_SCHEDULE!I6</f>
        <v/>
      </c>
      <c r="E12" s="9">
        <f>DEBT_SCHEDULE!I7</f>
        <v/>
      </c>
      <c r="F12" s="9">
        <f>DEBT_SCHEDULE!I8</f>
        <v/>
      </c>
      <c r="G12" s="9">
        <f>DEBT_SCHEDULE!I9</f>
        <v/>
      </c>
      <c r="H12" s="9">
        <f>DEBT_SCHEDULE!I10</f>
        <v/>
      </c>
      <c r="I12" s="9">
        <f>DEBT_SCHEDULE!I11</f>
        <v/>
      </c>
      <c r="J12" s="9">
        <f>DEBT_SCHEDULE!I12</f>
        <v/>
      </c>
      <c r="K12" s="9">
        <f>DEBT_SCHEDULE!I13</f>
        <v/>
      </c>
    </row>
    <row r="13">
      <c r="A13" s="2" t="inlineStr">
        <is>
          <t>Total_Liabilities</t>
        </is>
      </c>
      <c r="B13" s="9">
        <f>SUM(B11:B12)</f>
        <v/>
      </c>
      <c r="C13" s="9">
        <f>SUM(C11:C12)</f>
        <v/>
      </c>
      <c r="D13" s="9">
        <f>SUM(D11:D12)</f>
        <v/>
      </c>
      <c r="E13" s="9">
        <f>SUM(E11:E12)</f>
        <v/>
      </c>
      <c r="F13" s="9">
        <f>SUM(F11:F12)</f>
        <v/>
      </c>
      <c r="G13" s="9">
        <f>SUM(G11:G12)</f>
        <v/>
      </c>
      <c r="H13" s="9">
        <f>SUM(H11:H12)</f>
        <v/>
      </c>
      <c r="I13" s="9">
        <f>SUM(I11:I12)</f>
        <v/>
      </c>
      <c r="J13" s="9">
        <f>SUM(J11:J12)</f>
        <v/>
      </c>
      <c r="K13" s="9">
        <f>SUM(K11:K12)</f>
        <v/>
      </c>
    </row>
    <row r="15">
      <c r="A15" s="2" t="inlineStr">
        <is>
          <t>Equity</t>
        </is>
      </c>
    </row>
    <row r="16">
      <c r="A16" s="2" t="inlineStr">
        <is>
          <t>Share_Capital</t>
        </is>
      </c>
      <c r="B16" s="9">
        <f>ASSUMPTIONS!$B$10+SUM(CASH_FLOW!$B$12:CASH_FLOW!B12)</f>
        <v/>
      </c>
      <c r="C16" s="9">
        <f>ASSUMPTIONS!$B$10+SUM(CASH_FLOW!$B$12:CASH_FLOW!C12)</f>
        <v/>
      </c>
      <c r="D16" s="9">
        <f>ASSUMPTIONS!$B$10+SUM(CASH_FLOW!$B$12:CASH_FLOW!D12)</f>
        <v/>
      </c>
      <c r="E16" s="9">
        <f>ASSUMPTIONS!$B$10+SUM(CASH_FLOW!$B$12:CASH_FLOW!E12)</f>
        <v/>
      </c>
      <c r="F16" s="9">
        <f>ASSUMPTIONS!$B$10+SUM(CASH_FLOW!$B$12:CASH_FLOW!F12)</f>
        <v/>
      </c>
      <c r="G16" s="9">
        <f>ASSUMPTIONS!$B$10+SUM(CASH_FLOW!$B$12:CASH_FLOW!G12)</f>
        <v/>
      </c>
      <c r="H16" s="9">
        <f>ASSUMPTIONS!$B$10+SUM(CASH_FLOW!$B$12:CASH_FLOW!H12)</f>
        <v/>
      </c>
      <c r="I16" s="9">
        <f>ASSUMPTIONS!$B$10+SUM(CASH_FLOW!$B$12:CASH_FLOW!I12)</f>
        <v/>
      </c>
      <c r="J16" s="9">
        <f>ASSUMPTIONS!$B$10+SUM(CASH_FLOW!$B$12:CASH_FLOW!J12)</f>
        <v/>
      </c>
      <c r="K16" s="9">
        <f>ASSUMPTIONS!$B$10+SUM(CASH_FLOW!$B$12:CASH_FLOW!K12)</f>
        <v/>
      </c>
    </row>
    <row r="17">
      <c r="A17" s="2" t="inlineStr">
        <is>
          <t>Retained_Earnings</t>
        </is>
      </c>
      <c r="B17" s="9">
        <f>'P&amp;L'!B12</f>
        <v/>
      </c>
      <c r="C17" s="9">
        <f>B17+'P&amp;L'!C12</f>
        <v/>
      </c>
      <c r="D17" s="9">
        <f>C17+'P&amp;L'!D12</f>
        <v/>
      </c>
      <c r="E17" s="9">
        <f>D17+'P&amp;L'!E12</f>
        <v/>
      </c>
      <c r="F17" s="9">
        <f>E17+'P&amp;L'!F12</f>
        <v/>
      </c>
      <c r="G17" s="9">
        <f>F17+'P&amp;L'!G12</f>
        <v/>
      </c>
      <c r="H17" s="9">
        <f>G17+'P&amp;L'!H12</f>
        <v/>
      </c>
      <c r="I17" s="9">
        <f>H17+'P&amp;L'!I12</f>
        <v/>
      </c>
      <c r="J17" s="9">
        <f>I17+'P&amp;L'!J12</f>
        <v/>
      </c>
      <c r="K17" s="9">
        <f>J17+'P&amp;L'!K12</f>
        <v/>
      </c>
    </row>
    <row r="18">
      <c r="A18" s="2" t="inlineStr">
        <is>
          <t>Total_Equity</t>
        </is>
      </c>
      <c r="B18" s="9">
        <f>B16+B17</f>
        <v/>
      </c>
      <c r="C18" s="9">
        <f>C16+C17</f>
        <v/>
      </c>
      <c r="D18" s="9">
        <f>D16+D17</f>
        <v/>
      </c>
      <c r="E18" s="9">
        <f>E16+E17</f>
        <v/>
      </c>
      <c r="F18" s="9">
        <f>F16+F17</f>
        <v/>
      </c>
      <c r="G18" s="9">
        <f>G16+G17</f>
        <v/>
      </c>
      <c r="H18" s="9">
        <f>H16+H17</f>
        <v/>
      </c>
      <c r="I18" s="9">
        <f>I16+I17</f>
        <v/>
      </c>
      <c r="J18" s="9">
        <f>J16+J17</f>
        <v/>
      </c>
      <c r="K18" s="9">
        <f>K16+K17</f>
        <v/>
      </c>
    </row>
    <row r="20">
      <c r="A20" s="2" t="inlineStr">
        <is>
          <t>Balance_Check</t>
        </is>
      </c>
      <c r="B20" s="9">
        <f>B8-(B13+B18)</f>
        <v/>
      </c>
      <c r="C20" s="9">
        <f>C8-(C13+C18)</f>
        <v/>
      </c>
      <c r="D20" s="9">
        <f>D8-(D13+D18)</f>
        <v/>
      </c>
      <c r="E20" s="9">
        <f>E8-(E13+E18)</f>
        <v/>
      </c>
      <c r="F20" s="9">
        <f>F8-(F13+F18)</f>
        <v/>
      </c>
      <c r="G20" s="9">
        <f>G8-(G13+G18)</f>
        <v/>
      </c>
      <c r="H20" s="9">
        <f>H8-(H13+H18)</f>
        <v/>
      </c>
      <c r="I20" s="9">
        <f>I8-(I13+I18)</f>
        <v/>
      </c>
      <c r="J20" s="9">
        <f>J8-(J13+J18)</f>
        <v/>
      </c>
      <c r="K20" s="9">
        <f>K8-(K13+K18)</f>
        <v/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3:K9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CFADS</t>
        </is>
      </c>
      <c r="B4" s="9">
        <f>CASH_FLOW!B7</f>
        <v/>
      </c>
      <c r="C4" s="9">
        <f>CASH_FLOW!C7</f>
        <v/>
      </c>
      <c r="D4" s="9">
        <f>CASH_FLOW!D7</f>
        <v/>
      </c>
      <c r="E4" s="9">
        <f>CASH_FLOW!E7</f>
        <v/>
      </c>
      <c r="F4" s="9">
        <f>CASH_FLOW!F7</f>
        <v/>
      </c>
      <c r="G4" s="9">
        <f>CASH_FLOW!G7</f>
        <v/>
      </c>
      <c r="H4" s="9">
        <f>CASH_FLOW!H7</f>
        <v/>
      </c>
      <c r="I4" s="9">
        <f>CASH_FLOW!I7</f>
        <v/>
      </c>
      <c r="J4" s="9">
        <f>CASH_FLOW!J7</f>
        <v/>
      </c>
      <c r="K4" s="9">
        <f>CASH_FLOW!K7</f>
        <v/>
      </c>
    </row>
    <row r="5">
      <c r="A5" s="2" t="inlineStr">
        <is>
          <t>Debt_Service</t>
        </is>
      </c>
      <c r="B5" s="9">
        <f>DEBT_SCHEDULE!G4</f>
        <v/>
      </c>
      <c r="C5" s="9">
        <f>DEBT_SCHEDULE!G5</f>
        <v/>
      </c>
      <c r="D5" s="9">
        <f>DEBT_SCHEDULE!G6</f>
        <v/>
      </c>
      <c r="E5" s="9">
        <f>DEBT_SCHEDULE!G7</f>
        <v/>
      </c>
      <c r="F5" s="9">
        <f>DEBT_SCHEDULE!G8</f>
        <v/>
      </c>
      <c r="G5" s="9">
        <f>DEBT_SCHEDULE!G9</f>
        <v/>
      </c>
      <c r="H5" s="9">
        <f>DEBT_SCHEDULE!G10</f>
        <v/>
      </c>
      <c r="I5" s="9">
        <f>DEBT_SCHEDULE!G11</f>
        <v/>
      </c>
      <c r="J5" s="9">
        <f>DEBT_SCHEDULE!G12</f>
        <v/>
      </c>
      <c r="K5" s="9">
        <f>DEBT_SCHEDULE!G13</f>
        <v/>
      </c>
    </row>
    <row r="6">
      <c r="A6" s="2" t="inlineStr">
        <is>
          <t>DSCR</t>
        </is>
      </c>
      <c r="B6" s="11">
        <f>IF(B5=0,"",B4/B5)</f>
        <v/>
      </c>
      <c r="C6" s="11">
        <f>IF(C5=0,"",C4/C5)</f>
        <v/>
      </c>
      <c r="D6" s="11">
        <f>IF(D5=0,"",D4/D5)</f>
        <v/>
      </c>
      <c r="E6" s="11">
        <f>IF(E5=0,"",E4/E5)</f>
        <v/>
      </c>
      <c r="F6" s="11">
        <f>IF(F5=0,"",F4/F5)</f>
        <v/>
      </c>
      <c r="G6" s="11">
        <f>IF(G5=0,"",G4/G5)</f>
        <v/>
      </c>
      <c r="H6" s="11">
        <f>IF(H5=0,"",H4/H5)</f>
        <v/>
      </c>
      <c r="I6" s="11">
        <f>IF(I5=0,"",I4/I5)</f>
        <v/>
      </c>
      <c r="J6" s="11">
        <f>IF(J5=0,"",J4/J5)</f>
        <v/>
      </c>
      <c r="K6" s="11">
        <f>IF(K5=0,"",K4/K5)</f>
        <v/>
      </c>
    </row>
    <row r="7">
      <c r="A7" s="2" t="inlineStr">
        <is>
          <t>EBITDA_Margin</t>
        </is>
      </c>
      <c r="B7" s="10">
        <f>IF('P&amp;L'!B4=0,"",'P&amp;L'!B6/'P&amp;L'!B4)</f>
        <v/>
      </c>
      <c r="C7" s="10">
        <f>IF('P&amp;L'!C4=0,"",'P&amp;L'!C6/'P&amp;L'!C4)</f>
        <v/>
      </c>
      <c r="D7" s="10">
        <f>IF('P&amp;L'!D4=0,"",'P&amp;L'!D6/'P&amp;L'!D4)</f>
        <v/>
      </c>
      <c r="E7" s="10">
        <f>IF('P&amp;L'!E4=0,"",'P&amp;L'!E6/'P&amp;L'!E4)</f>
        <v/>
      </c>
      <c r="F7" s="10">
        <f>IF('P&amp;L'!F4=0,"",'P&amp;L'!F6/'P&amp;L'!F4)</f>
        <v/>
      </c>
      <c r="G7" s="10">
        <f>IF('P&amp;L'!G4=0,"",'P&amp;L'!G6/'P&amp;L'!G4)</f>
        <v/>
      </c>
      <c r="H7" s="10">
        <f>IF('P&amp;L'!H4=0,"",'P&amp;L'!H6/'P&amp;L'!H4)</f>
        <v/>
      </c>
      <c r="I7" s="10">
        <f>IF('P&amp;L'!I4=0,"",'P&amp;L'!I6/'P&amp;L'!I4)</f>
        <v/>
      </c>
      <c r="J7" s="10">
        <f>IF('P&amp;L'!J4=0,"",'P&amp;L'!J6/'P&amp;L'!J4)</f>
        <v/>
      </c>
      <c r="K7" s="10">
        <f>IF('P&amp;L'!K4=0,"",'P&amp;L'!K6/'P&amp;L'!K4)</f>
        <v/>
      </c>
    </row>
    <row r="8">
      <c r="A8" s="2" t="inlineStr">
        <is>
          <t>Interest_Coverage</t>
        </is>
      </c>
      <c r="B8" s="11">
        <f>IF('P&amp;L'!B9=0,"",'P&amp;L'!B8/'P&amp;L'!B9)</f>
        <v/>
      </c>
      <c r="C8" s="11">
        <f>IF('P&amp;L'!C9=0,"",'P&amp;L'!C8/'P&amp;L'!C9)</f>
        <v/>
      </c>
      <c r="D8" s="11">
        <f>IF('P&amp;L'!D9=0,"",'P&amp;L'!D8/'P&amp;L'!D9)</f>
        <v/>
      </c>
      <c r="E8" s="11">
        <f>IF('P&amp;L'!E9=0,"",'P&amp;L'!E8/'P&amp;L'!E9)</f>
        <v/>
      </c>
      <c r="F8" s="11">
        <f>IF('P&amp;L'!F9=0,"",'P&amp;L'!F8/'P&amp;L'!F9)</f>
        <v/>
      </c>
      <c r="G8" s="11">
        <f>IF('P&amp;L'!G9=0,"",'P&amp;L'!G8/'P&amp;L'!G9)</f>
        <v/>
      </c>
      <c r="H8" s="11">
        <f>IF('P&amp;L'!H9=0,"",'P&amp;L'!H8/'P&amp;L'!H9)</f>
        <v/>
      </c>
      <c r="I8" s="11">
        <f>IF('P&amp;L'!I9=0,"",'P&amp;L'!I8/'P&amp;L'!I9)</f>
        <v/>
      </c>
      <c r="J8" s="11">
        <f>IF('P&amp;L'!J9=0,"",'P&amp;L'!J8/'P&amp;L'!J9)</f>
        <v/>
      </c>
      <c r="K8" s="11">
        <f>IF('P&amp;L'!K9=0,"",'P&amp;L'!K8/'P&amp;L'!K9)</f>
        <v/>
      </c>
    </row>
    <row r="9">
      <c r="A9" s="2" t="inlineStr">
        <is>
          <t>Covenant_Flag</t>
        </is>
      </c>
      <c r="B9" s="6">
        <f>DEBT_SCHEDULE!K4</f>
        <v/>
      </c>
      <c r="C9" s="6">
        <f>DEBT_SCHEDULE!K5</f>
        <v/>
      </c>
      <c r="D9" s="6">
        <f>DEBT_SCHEDULE!K6</f>
        <v/>
      </c>
      <c r="E9" s="6">
        <f>DEBT_SCHEDULE!K7</f>
        <v/>
      </c>
      <c r="F9" s="6">
        <f>DEBT_SCHEDULE!K8</f>
        <v/>
      </c>
      <c r="G9" s="6">
        <f>DEBT_SCHEDULE!K9</f>
        <v/>
      </c>
      <c r="H9" s="6">
        <f>DEBT_SCHEDULE!K10</f>
        <v/>
      </c>
      <c r="I9" s="6">
        <f>DEBT_SCHEDULE!K11</f>
        <v/>
      </c>
      <c r="J9" s="6">
        <f>DEBT_SCHEDULE!K12</f>
        <v/>
      </c>
      <c r="K9" s="6">
        <f>DEBT_SCHEDULE!K13</f>
        <v/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2:C8"/>
  <sheetViews>
    <sheetView workbookViewId="0">
      <pane xSplit="1" ySplit="3" topLeftCell="B3" activePane="bottomRight" state="frozen"/>
      <selection pane="bottomRight" activeCell="B3" sqref="B3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</cols>
  <sheetData>
    <row r="2">
      <c r="A2" s="1" t="inlineStr">
        <is>
          <t>Check</t>
        </is>
      </c>
      <c r="B2" s="1" t="inlineStr">
        <is>
          <t>Result</t>
        </is>
      </c>
      <c r="C2" s="1" t="inlineStr">
        <is>
          <t>Notes</t>
        </is>
      </c>
    </row>
    <row r="3">
      <c r="A3" s="2" t="inlineStr">
        <is>
          <t>External links removed</t>
        </is>
      </c>
      <c r="B3" s="6">
        <f>"PASS"</f>
        <v/>
      </c>
      <c r="C3" s="6" t="inlineStr">
        <is>
          <t>Workbook generated without external relationships</t>
        </is>
      </c>
    </row>
    <row r="4">
      <c r="A4" s="2" t="inlineStr">
        <is>
          <t>Prior legacy debt schedule excluded</t>
        </is>
      </c>
      <c r="B4" s="6">
        <f>"PASS"</f>
        <v/>
      </c>
      <c r="C4" s="6" t="inlineStr">
        <is>
          <t>Only DEBT_SCHEDULE is used</t>
        </is>
      </c>
    </row>
    <row r="5">
      <c r="A5" s="2" t="inlineStr">
        <is>
          <t>Balance sheet balances</t>
        </is>
      </c>
      <c r="B5" s="6">
        <f>IF(MAX(ABS(BALANCE_SHEET!B20:K20))&lt;1,"PASS","FAIL")</f>
        <v/>
      </c>
      <c r="C5" s="6" t="inlineStr"/>
    </row>
    <row r="6">
      <c r="A6" s="2" t="inlineStr">
        <is>
          <t>Debt closes by tenor</t>
        </is>
      </c>
      <c r="B6" s="6">
        <f>IF(ABS(DEBT_SCHEDULE!I10)&lt;1,"PASS","WARN")</f>
        <v/>
      </c>
      <c r="C6" s="6" t="inlineStr"/>
    </row>
    <row r="7">
      <c r="A7" s="2" t="inlineStr">
        <is>
          <t>No negative ending cash</t>
        </is>
      </c>
      <c r="B7" s="6">
        <f>IF(MIN(CASH_FLOW!B14:K14)&gt;=0,"PASS","WARN")</f>
        <v/>
      </c>
      <c r="C7" s="6" t="inlineStr"/>
    </row>
    <row r="8">
      <c r="A8" s="2" t="inlineStr">
        <is>
          <t>Minimum DSCR met while debt outstanding</t>
        </is>
      </c>
      <c r="B8" s="6">
        <f>IF(COUNTIF(DEBT_SCHEDULE!K4:K13,"BREACH")=0,"PASS","WARN")</f>
        <v/>
      </c>
      <c r="C8" s="6" t="inlineStr"/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3:K11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Milk Price</t>
        </is>
      </c>
      <c r="B4" s="9">
        <f>INPUTS_OPERATING!B5</f>
        <v/>
      </c>
      <c r="C4" s="9">
        <f>INPUTS_OPERATING!C5</f>
        <v/>
      </c>
      <c r="D4" s="9">
        <f>INPUTS_OPERATING!D5</f>
        <v/>
      </c>
      <c r="E4" s="9">
        <f>INPUTS_OPERATING!E5</f>
        <v/>
      </c>
      <c r="F4" s="9">
        <f>INPUTS_OPERATING!F5</f>
        <v/>
      </c>
      <c r="G4" s="9">
        <f>INPUTS_OPERATING!G5</f>
        <v/>
      </c>
      <c r="H4" s="9">
        <f>INPUTS_OPERATING!H5</f>
        <v/>
      </c>
      <c r="I4" s="9">
        <f>INPUTS_OPERATING!I5</f>
        <v/>
      </c>
      <c r="J4" s="9">
        <f>INPUTS_OPERATING!J5</f>
        <v/>
      </c>
      <c r="K4" s="9">
        <f>INPUTS_OPERATING!K5</f>
        <v/>
      </c>
    </row>
    <row r="5">
      <c r="A5" s="2" t="inlineStr">
        <is>
          <t>Milk Liters</t>
        </is>
      </c>
      <c r="B5" s="9">
        <f>INPUTS_OPERATING!B4</f>
        <v/>
      </c>
      <c r="C5" s="9">
        <f>INPUTS_OPERATING!C4</f>
        <v/>
      </c>
      <c r="D5" s="9">
        <f>INPUTS_OPERATING!D4</f>
        <v/>
      </c>
      <c r="E5" s="9">
        <f>INPUTS_OPERATING!E4</f>
        <v/>
      </c>
      <c r="F5" s="9">
        <f>INPUTS_OPERATING!F4</f>
        <v/>
      </c>
      <c r="G5" s="9">
        <f>INPUTS_OPERATING!G4</f>
        <v/>
      </c>
      <c r="H5" s="9">
        <f>INPUTS_OPERATING!H4</f>
        <v/>
      </c>
      <c r="I5" s="9">
        <f>INPUTS_OPERATING!I4</f>
        <v/>
      </c>
      <c r="J5" s="9">
        <f>INPUTS_OPERATING!J4</f>
        <v/>
      </c>
      <c r="K5" s="9">
        <f>INPUTS_OPERATING!K4</f>
        <v/>
      </c>
    </row>
    <row r="6">
      <c r="A6" s="2" t="inlineStr">
        <is>
          <t>Variable Costs</t>
        </is>
      </c>
      <c r="B6" s="9">
        <f>SUM(OPEX!B4:OPEX!B5,OPEX!B7:OPEX!B8)</f>
        <v/>
      </c>
      <c r="C6" s="9">
        <f>SUM(OPEX!C4:OPEX!C5,OPEX!C7:OPEX!C8)</f>
        <v/>
      </c>
      <c r="D6" s="9">
        <f>SUM(OPEX!D4:OPEX!D5,OPEX!D7:OPEX!D8)</f>
        <v/>
      </c>
      <c r="E6" s="9">
        <f>SUM(OPEX!E4:OPEX!E5,OPEX!E7:OPEX!E8)</f>
        <v/>
      </c>
      <c r="F6" s="9">
        <f>SUM(OPEX!F4:OPEX!F5,OPEX!F7:OPEX!F8)</f>
        <v/>
      </c>
      <c r="G6" s="9">
        <f>SUM(OPEX!G4:OPEX!G5,OPEX!G7:OPEX!G8)</f>
        <v/>
      </c>
      <c r="H6" s="9">
        <f>SUM(OPEX!H4:OPEX!H5,OPEX!H7:OPEX!H8)</f>
        <v/>
      </c>
      <c r="I6" s="9">
        <f>SUM(OPEX!I4:OPEX!I5,OPEX!I7:OPEX!I8)</f>
        <v/>
      </c>
      <c r="J6" s="9">
        <f>SUM(OPEX!J4:OPEX!J5,OPEX!J7:OPEX!J8)</f>
        <v/>
      </c>
      <c r="K6" s="9">
        <f>SUM(OPEX!K4:OPEX!K5,OPEX!K7:OPEX!K8)</f>
        <v/>
      </c>
    </row>
    <row r="7">
      <c r="A7" s="2" t="inlineStr">
        <is>
          <t>Variable Cost/L</t>
        </is>
      </c>
      <c r="B7" s="8">
        <f>IF(B5=0,0,B6/B5)</f>
        <v/>
      </c>
      <c r="C7" s="8">
        <f>IF(C5=0,0,C6/C5)</f>
        <v/>
      </c>
      <c r="D7" s="8">
        <f>IF(D5=0,0,D6/D5)</f>
        <v/>
      </c>
      <c r="E7" s="8">
        <f>IF(E5=0,0,E6/E5)</f>
        <v/>
      </c>
      <c r="F7" s="8">
        <f>IF(F5=0,0,F6/F5)</f>
        <v/>
      </c>
      <c r="G7" s="8">
        <f>IF(G5=0,0,G6/G5)</f>
        <v/>
      </c>
      <c r="H7" s="8">
        <f>IF(H5=0,0,H6/H5)</f>
        <v/>
      </c>
      <c r="I7" s="8">
        <f>IF(I5=0,0,I6/I5)</f>
        <v/>
      </c>
      <c r="J7" s="8">
        <f>IF(J5=0,0,J6/J5)</f>
        <v/>
      </c>
      <c r="K7" s="8">
        <f>IF(K5=0,0,K6/K5)</f>
        <v/>
      </c>
    </row>
    <row r="8">
      <c r="A8" s="2" t="inlineStr">
        <is>
          <t>Contribution/L</t>
        </is>
      </c>
      <c r="B8" s="9">
        <f>B4-B7</f>
        <v/>
      </c>
      <c r="C8" s="9">
        <f>C4-C7</f>
        <v/>
      </c>
      <c r="D8" s="9">
        <f>D4-D7</f>
        <v/>
      </c>
      <c r="E8" s="9">
        <f>E4-E7</f>
        <v/>
      </c>
      <c r="F8" s="9">
        <f>F4-F7</f>
        <v/>
      </c>
      <c r="G8" s="9">
        <f>G4-G7</f>
        <v/>
      </c>
      <c r="H8" s="9">
        <f>H4-H7</f>
        <v/>
      </c>
      <c r="I8" s="9">
        <f>I4-I7</f>
        <v/>
      </c>
      <c r="J8" s="9">
        <f>J4-J7</f>
        <v/>
      </c>
      <c r="K8" s="9">
        <f>K4-K7</f>
        <v/>
      </c>
    </row>
    <row r="9">
      <c r="A9" s="2" t="inlineStr">
        <is>
          <t>Fixed Costs</t>
        </is>
      </c>
      <c r="B9" s="9">
        <f>OPEX!B14-B6</f>
        <v/>
      </c>
      <c r="C9" s="9">
        <f>OPEX!C14-C6</f>
        <v/>
      </c>
      <c r="D9" s="9">
        <f>OPEX!D14-D6</f>
        <v/>
      </c>
      <c r="E9" s="9">
        <f>OPEX!E14-E6</f>
        <v/>
      </c>
      <c r="F9" s="9">
        <f>OPEX!F14-F6</f>
        <v/>
      </c>
      <c r="G9" s="9">
        <f>OPEX!G14-G6</f>
        <v/>
      </c>
      <c r="H9" s="9">
        <f>OPEX!H14-H6</f>
        <v/>
      </c>
      <c r="I9" s="9">
        <f>OPEX!I14-I6</f>
        <v/>
      </c>
      <c r="J9" s="9">
        <f>OPEX!J14-J6</f>
        <v/>
      </c>
      <c r="K9" s="9">
        <f>OPEX!K14-K6</f>
        <v/>
      </c>
    </row>
    <row r="10">
      <c r="A10" s="2" t="inlineStr">
        <is>
          <t>Break-Even Liters</t>
        </is>
      </c>
      <c r="B10" s="9">
        <f>IF(B8&lt;=0,"",B9/B8)</f>
        <v/>
      </c>
      <c r="C10" s="9">
        <f>IF(C8&lt;=0,"",C9/C8)</f>
        <v/>
      </c>
      <c r="D10" s="9">
        <f>IF(D8&lt;=0,"",D9/D8)</f>
        <v/>
      </c>
      <c r="E10" s="9">
        <f>IF(E8&lt;=0,"",E9/E8)</f>
        <v/>
      </c>
      <c r="F10" s="9">
        <f>IF(F8&lt;=0,"",F9/F8)</f>
        <v/>
      </c>
      <c r="G10" s="9">
        <f>IF(G8&lt;=0,"",G9/G8)</f>
        <v/>
      </c>
      <c r="H10" s="9">
        <f>IF(H8&lt;=0,"",H9/H8)</f>
        <v/>
      </c>
      <c r="I10" s="9">
        <f>IF(I8&lt;=0,"",I9/I8)</f>
        <v/>
      </c>
      <c r="J10" s="9">
        <f>IF(J8&lt;=0,"",J9/J8)</f>
        <v/>
      </c>
      <c r="K10" s="9">
        <f>IF(K8&lt;=0,"",K9/K8)</f>
        <v/>
      </c>
    </row>
    <row r="11">
      <c r="A11" s="2" t="inlineStr">
        <is>
          <t>Margin of Safety</t>
        </is>
      </c>
      <c r="B11" s="10">
        <f>IF(B5=0,"",1-B10/B5)</f>
        <v/>
      </c>
      <c r="C11" s="10">
        <f>IF(C5=0,"",1-C10/C5)</f>
        <v/>
      </c>
      <c r="D11" s="10">
        <f>IF(D5=0,"",1-D10/D5)</f>
        <v/>
      </c>
      <c r="E11" s="10">
        <f>IF(E5=0,"",1-E10/E5)</f>
        <v/>
      </c>
      <c r="F11" s="10">
        <f>IF(F5=0,"",1-F10/F5)</f>
        <v/>
      </c>
      <c r="G11" s="10">
        <f>IF(G5=0,"",1-G10/G5)</f>
        <v/>
      </c>
      <c r="H11" s="10">
        <f>IF(H5=0,"",1-H10/H5)</f>
        <v/>
      </c>
      <c r="I11" s="10">
        <f>IF(I5=0,"",1-I10/I5)</f>
        <v/>
      </c>
      <c r="J11" s="10">
        <f>IF(J5=0,"",1-J10/J5)</f>
        <v/>
      </c>
      <c r="K11" s="10">
        <f>IF(K5=0,"",1-K10/K5)</f>
        <v/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</cols>
  <sheetData>
    <row r="1">
      <c r="A1" s="1" t="inlineStr">
        <is>
          <t>Scenario support - edit multipliers here, then optionally link them into assumptions/inputs</t>
        </is>
      </c>
    </row>
    <row r="3">
      <c r="A3" s="1" t="inlineStr">
        <is>
          <t>Scenario</t>
        </is>
      </c>
      <c r="B3" s="1" t="inlineStr">
        <is>
          <t>Milk</t>
        </is>
      </c>
      <c r="C3" s="1" t="inlineStr">
        <is>
          <t>Beef</t>
        </is>
      </c>
      <c r="D3" s="1" t="inlineStr">
        <is>
          <t>Manure</t>
        </is>
      </c>
      <c r="E3" s="1" t="inlineStr">
        <is>
          <t>Feed</t>
        </is>
      </c>
      <c r="F3" s="1" t="inlineStr">
        <is>
          <t>OtherOpex</t>
        </is>
      </c>
      <c r="G3" s="1" t="inlineStr">
        <is>
          <t>Volume</t>
        </is>
      </c>
    </row>
    <row r="4">
      <c r="A4" s="6" t="inlineStr">
        <is>
          <t>Base</t>
        </is>
      </c>
      <c r="B4" s="8" t="n">
        <v>1</v>
      </c>
      <c r="C4" s="8" t="n">
        <v>1</v>
      </c>
      <c r="D4" s="8" t="n">
        <v>1</v>
      </c>
      <c r="E4" s="8" t="n">
        <v>1</v>
      </c>
      <c r="F4" s="8" t="n">
        <v>1</v>
      </c>
      <c r="G4" s="8" t="n">
        <v>1</v>
      </c>
    </row>
    <row r="5">
      <c r="A5" s="6" t="inlineStr">
        <is>
          <t>Milk -20%</t>
        </is>
      </c>
      <c r="B5" s="8" t="n">
        <v>0.8</v>
      </c>
      <c r="C5" s="8" t="n">
        <v>1</v>
      </c>
      <c r="D5" s="8" t="n">
        <v>1</v>
      </c>
      <c r="E5" s="8" t="n">
        <v>1</v>
      </c>
      <c r="F5" s="8" t="n">
        <v>1</v>
      </c>
      <c r="G5" s="8" t="n">
        <v>1</v>
      </c>
    </row>
    <row r="6">
      <c r="A6" s="6" t="inlineStr">
        <is>
          <t>Beef -20%</t>
        </is>
      </c>
      <c r="B6" s="8" t="n">
        <v>1</v>
      </c>
      <c r="C6" s="8" t="n">
        <v>0.8</v>
      </c>
      <c r="D6" s="8" t="n">
        <v>1</v>
      </c>
      <c r="E6" s="8" t="n">
        <v>1</v>
      </c>
      <c r="F6" s="8" t="n">
        <v>1</v>
      </c>
      <c r="G6" s="8" t="n">
        <v>1</v>
      </c>
    </row>
    <row r="7">
      <c r="A7" s="6" t="inlineStr">
        <is>
          <t>Feed +20%</t>
        </is>
      </c>
      <c r="B7" s="8" t="n">
        <v>1</v>
      </c>
      <c r="C7" s="8" t="n">
        <v>1</v>
      </c>
      <c r="D7" s="8" t="n">
        <v>1</v>
      </c>
      <c r="E7" s="8" t="n">
        <v>1.2</v>
      </c>
      <c r="F7" s="8" t="n">
        <v>1</v>
      </c>
      <c r="G7" s="8" t="n">
        <v>1</v>
      </c>
    </row>
    <row r="8">
      <c r="A8" s="6" t="inlineStr">
        <is>
          <t>Downside: Milk -20% &amp; Feed +20%</t>
        </is>
      </c>
      <c r="B8" s="8" t="n">
        <v>0.8</v>
      </c>
      <c r="C8" s="8" t="n">
        <v>1</v>
      </c>
      <c r="D8" s="8" t="n">
        <v>1</v>
      </c>
      <c r="E8" s="8" t="n">
        <v>1.2</v>
      </c>
      <c r="F8" s="8" t="n">
        <v>1</v>
      </c>
      <c r="G8" s="8" t="n">
        <v>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2:B9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</cols>
  <sheetData>
    <row r="2">
      <c r="A2" s="1" t="inlineStr">
        <is>
          <t>Item</t>
        </is>
      </c>
      <c r="B2" s="1" t="inlineStr">
        <is>
          <t>Treatment</t>
        </is>
      </c>
    </row>
    <row r="3">
      <c r="A3" s="6" t="inlineStr">
        <is>
          <t>Formula rebuild</t>
        </is>
      </c>
      <c r="B3" s="6" t="inlineStr">
        <is>
          <t>All core schedules are linked by formulas</t>
        </is>
      </c>
    </row>
    <row r="4">
      <c r="A4" s="6" t="inlineStr">
        <is>
          <t>External links</t>
        </is>
      </c>
      <c r="B4" s="6" t="inlineStr">
        <is>
          <t>Excluded</t>
        </is>
      </c>
    </row>
    <row r="5">
      <c r="A5" s="6" t="inlineStr">
        <is>
          <t>Prior legacy debt sheet</t>
        </is>
      </c>
      <c r="B5" s="6" t="inlineStr">
        <is>
          <t>Excluded</t>
        </is>
      </c>
    </row>
    <row r="6">
      <c r="A6" s="6" t="inlineStr">
        <is>
          <t>Assumption changes</t>
        </is>
      </c>
      <c r="B6" s="6" t="inlineStr">
        <is>
          <t>ASSUMPTIONS and operating inputs flow through dependent sheets</t>
        </is>
      </c>
    </row>
    <row r="7">
      <c r="A7" s="6" t="inlineStr">
        <is>
          <t>Depreciation</t>
        </is>
      </c>
      <c r="B7" s="6" t="inlineStr">
        <is>
          <t>Rolling annual formula over useful lives</t>
        </is>
      </c>
    </row>
    <row r="8">
      <c r="A8" s="6" t="inlineStr">
        <is>
          <t>Non-cash land equity</t>
        </is>
      </c>
      <c r="B8" s="6" t="inlineStr">
        <is>
          <t>Included in PPE/equity, excluded from cash capex</t>
        </is>
      </c>
    </row>
    <row r="9">
      <c r="A9" s="2" t="inlineStr">
        <is>
          <t>Production base case</t>
        </is>
      </c>
      <c r="B9" s="6" t="inlineStr">
        <is>
          <t>Milking cows, beef kg, and manure bags preserve supplied base figures via ASSUMPTIONS rows 45-47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A14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</cols>
  <sheetData>
    <row r="2">
      <c r="A2" s="1" t="inlineStr">
        <is>
          <t>README</t>
        </is>
      </c>
    </row>
    <row r="4">
      <c r="A4" s="6" t="inlineStr">
        <is>
          <t>This workbook was rebuilt so formulas recalculate when assumptions and operating inputs change.</t>
        </is>
      </c>
    </row>
    <row r="5">
      <c r="A5" s="6" t="inlineStr">
        <is>
          <t>Change assumptions on ASSUMPTIONS and schedules on INPUTS_OPERATING, OPEX, and CAPEX.</t>
        </is>
      </c>
    </row>
    <row r="6">
      <c r="A6" s="6" t="inlineStr">
        <is>
          <t>Open in Excel or LibreOffice and allow recalculation if prompted.</t>
        </is>
      </c>
    </row>
    <row r="7">
      <c r="A7" s="6" t="inlineStr">
        <is>
          <t>External links and the prior legacy debt schedule are not included.</t>
        </is>
      </c>
    </row>
    <row r="9">
      <c r="A9" s="26" t="inlineStr">
        <is>
          <t>Workbook navigation</t>
        </is>
      </c>
    </row>
    <row r="10">
      <c r="A10" s="27" t="inlineStr">
        <is>
          <t>OPEX summary links</t>
        </is>
      </c>
    </row>
    <row r="11">
      <c r="A11" s="27" t="inlineStr">
        <is>
          <t>OPEX appendix</t>
        </is>
      </c>
    </row>
    <row r="12">
      <c r="A12" s="27" t="inlineStr">
        <is>
          <t>CAPEX summary links</t>
        </is>
      </c>
    </row>
    <row r="13">
      <c r="A13" s="27" t="inlineStr">
        <is>
          <t>CAPEX appendix</t>
        </is>
      </c>
    </row>
    <row r="14">
      <c r="A14" s="27" t="inlineStr">
        <is>
          <t>Sensitivity dashboard</t>
        </is>
      </c>
    </row>
  </sheetData>
  <hyperlinks>
    <hyperlink xmlns:r="http://schemas.openxmlformats.org/officeDocument/2006/relationships" ref="A10" r:id="rId1"/>
    <hyperlink xmlns:r="http://schemas.openxmlformats.org/officeDocument/2006/relationships" ref="A11" r:id="rId2"/>
    <hyperlink xmlns:r="http://schemas.openxmlformats.org/officeDocument/2006/relationships" ref="A12" r:id="rId3"/>
    <hyperlink xmlns:r="http://schemas.openxmlformats.org/officeDocument/2006/relationships" ref="A13" r:id="rId4"/>
    <hyperlink xmlns:r="http://schemas.openxmlformats.org/officeDocument/2006/relationships" ref="A14" r:id="rId5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V56"/>
  <sheetViews>
    <sheetView workbookViewId="0">
      <pane xSplit="1" ySplit="19" topLeftCell="B20" activePane="bottomRight" state="frozen"/>
      <selection pane="topRight" activeCell="A1" sqref="A1"/>
      <selection pane="bottomLeft" activeCell="A1" sqref="A1"/>
      <selection pane="bottomRight" activeCell="B8" sqref="B8"/>
    </sheetView>
  </sheetViews>
  <sheetFormatPr baseColWidth="8" defaultRowHeight="15"/>
  <cols>
    <col width="28" customWidth="1" min="1" max="1"/>
    <col width="16" customWidth="1" min="2" max="4"/>
    <col width="34" customWidth="1" min="5" max="5"/>
    <col width="14" customWidth="1" min="6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 ht="18" customHeight="1">
      <c r="A1" s="1" t="inlineStr">
        <is>
          <t>SENSITIVITY DASHBOARD</t>
        </is>
      </c>
      <c r="M1" s="12" t="inlineStr">
        <is>
          <t>VISIBLE SCENARIO CHART DASHBOARD</t>
        </is>
      </c>
    </row>
    <row r="2" ht="18" customHeight="1">
      <c r="A2" s="6" t="inlineStr">
        <is>
          <t>Editable scenario inputs are in column B. This dashboard does not overwrite the base model sheets.</t>
        </is>
      </c>
      <c r="M2" s="13" t="inlineStr">
        <is>
          <t>Chart images below are visible in Excel/LibreOffice. Formula outputs at left still recalculate from the editable scenario inputs.</t>
        </is>
      </c>
    </row>
    <row r="3" ht="18" customHeight="1"/>
    <row r="4" ht="18" customHeight="1">
      <c r="A4" s="1" t="inlineStr">
        <is>
          <t>Minimum Cash</t>
        </is>
      </c>
      <c r="B4" s="1" t="n"/>
      <c r="C4" s="1" t="inlineStr">
        <is>
          <t>Minimum DSCR</t>
        </is>
      </c>
      <c r="D4" s="1" t="n"/>
      <c r="E4" s="1" t="inlineStr">
        <is>
          <t>Funding Gap</t>
        </is>
      </c>
      <c r="F4" s="1" t="n"/>
      <c r="G4" s="1" t="inlineStr">
        <is>
          <t>Scenario Status</t>
        </is>
      </c>
      <c r="H4" s="1" t="n"/>
    </row>
    <row r="5" ht="18" customHeight="1">
      <c r="A5" s="2" t="inlineStr">
        <is>
          <t>Result</t>
        </is>
      </c>
      <c r="B5" s="9">
        <f>MIN(B38:K38)</f>
        <v/>
      </c>
      <c r="C5" s="2" t="inlineStr">
        <is>
          <t>Result</t>
        </is>
      </c>
      <c r="D5" s="11">
        <f>MIN(B37:K37)</f>
        <v/>
      </c>
      <c r="E5" s="2" t="inlineStr">
        <is>
          <t>Result</t>
        </is>
      </c>
      <c r="F5" s="9">
        <f>MAX(0,-MIN(B38:K38))</f>
        <v/>
      </c>
      <c r="G5" s="2" t="inlineStr">
        <is>
          <t>Result</t>
        </is>
      </c>
      <c r="H5" s="6">
        <f>IF(B5&lt;0,"CASH GAP",IF(D5&lt;$B$17,"DSCR WATCH","OK"))</f>
        <v/>
      </c>
    </row>
    <row r="6" ht="18" customHeight="1"/>
    <row r="7" ht="18" customHeight="1">
      <c r="A7" s="1" t="inlineStr">
        <is>
          <t>Scenario Input</t>
        </is>
      </c>
      <c r="B7" s="1" t="inlineStr">
        <is>
          <t>Delta / Value</t>
        </is>
      </c>
      <c r="C7" s="1" t="inlineStr">
        <is>
          <t>Base Value</t>
        </is>
      </c>
      <c r="D7" s="1" t="inlineStr">
        <is>
          <t>Scenario Value</t>
        </is>
      </c>
      <c r="E7" s="1" t="inlineStr">
        <is>
          <t>Meaning</t>
        </is>
      </c>
    </row>
    <row r="8" ht="18" customHeight="1">
      <c r="A8" s="2" t="inlineStr">
        <is>
          <t>Farm gate milk price %</t>
        </is>
      </c>
      <c r="B8" s="14" t="n">
        <v>0</v>
      </c>
      <c r="C8" s="22">
        <f>1000</f>
        <v/>
      </c>
      <c r="D8" s="22">
        <f>C8*(1+B8)</f>
        <v/>
      </c>
      <c r="E8" s="6" t="inlineStr">
        <is>
          <t>Applied to Year 1 ₦1,000/L farm-gate milk</t>
        </is>
      </c>
      <c r="F8" s="2" t="inlineStr">
        <is>
          <t>Chilled milk price %</t>
        </is>
      </c>
      <c r="G8" s="14" t="n">
        <v>0</v>
      </c>
      <c r="H8" s="22">
        <f>1200</f>
        <v/>
      </c>
      <c r="I8" s="22">
        <f>H8*(1+G8)</f>
        <v/>
      </c>
      <c r="J8" s="6" t="inlineStr">
        <is>
          <t>Years 2-3 ₦1,200/L</t>
        </is>
      </c>
    </row>
    <row r="9" ht="18" customHeight="1">
      <c r="A9" s="2" t="inlineStr">
        <is>
          <t>Feed cost change %</t>
        </is>
      </c>
      <c r="B9" s="14" t="n">
        <v>0</v>
      </c>
      <c r="C9" s="22">
        <f>SUM(OPEX!B4:K4)</f>
        <v/>
      </c>
      <c r="D9" s="22">
        <f>C9*(1+B9)+B10*10</f>
        <v/>
      </c>
      <c r="E9" s="6" t="inlineStr">
        <is>
          <t>Applied to Feed Supplements OPEX</t>
        </is>
      </c>
      <c r="F9" s="2" t="inlineStr">
        <is>
          <t>Cold logistics milk price %</t>
        </is>
      </c>
      <c r="G9" s="14" t="n">
        <v>0</v>
      </c>
      <c r="H9" s="22">
        <f>1500</f>
        <v/>
      </c>
      <c r="I9" s="22">
        <f>H9*(1+G9)</f>
        <v/>
      </c>
      <c r="J9" s="6" t="inlineStr">
        <is>
          <t>Years 4-5 ₦1,500/L</t>
        </is>
      </c>
    </row>
    <row r="10" ht="18" customHeight="1">
      <c r="A10" s="2" t="inlineStr">
        <is>
          <t>Extra feed cost / year</t>
        </is>
      </c>
      <c r="B10" s="23" t="n">
        <v>0</v>
      </c>
      <c r="C10" s="22">
        <f>0</f>
        <v/>
      </c>
      <c r="D10" s="22">
        <f>B10</f>
        <v/>
      </c>
      <c r="E10" s="6" t="inlineStr">
        <is>
          <t>Absolute NGN addition to each year</t>
        </is>
      </c>
      <c r="F10" s="2" t="inlineStr">
        <is>
          <t>Processed milk price %</t>
        </is>
      </c>
      <c r="G10" s="14" t="n">
        <v>0</v>
      </c>
      <c r="H10" s="22">
        <f>3000</f>
        <v/>
      </c>
      <c r="I10" s="22">
        <f>H10*(1+G10)</f>
        <v/>
      </c>
      <c r="J10" s="6" t="inlineStr">
        <is>
          <t>Years 6-10 ₦3,000/L</t>
        </is>
      </c>
    </row>
    <row r="11" ht="18" customHeight="1">
      <c r="A11" s="2" t="inlineStr">
        <is>
          <t>Production volume change %</t>
        </is>
      </c>
      <c r="B11" s="14" t="n">
        <v>0</v>
      </c>
      <c r="C11" s="22">
        <f>PRODUCTION!E11</f>
        <v/>
      </c>
      <c r="D11" s="22">
        <f>C11*(1+B11)</f>
        <v/>
      </c>
      <c r="E11" s="6" t="inlineStr">
        <is>
          <t>Applied to milk, beef, manure, crop volumes</t>
        </is>
      </c>
    </row>
    <row r="12" ht="18" customHeight="1">
      <c r="A12" s="2" t="inlineStr">
        <is>
          <t>Other OPEX change %</t>
        </is>
      </c>
      <c r="B12" s="14" t="n">
        <v>0</v>
      </c>
      <c r="C12" s="22">
        <f>SUM(OPEX!B14:K14)-SUM(OPEX!B4:K4)</f>
        <v/>
      </c>
      <c r="D12" s="22">
        <f>C12*(1+B12)</f>
        <v/>
      </c>
      <c r="E12" s="6" t="inlineStr">
        <is>
          <t>Applied to non-feed OPEX</t>
        </is>
      </c>
    </row>
    <row r="13" ht="18" customHeight="1">
      <c r="A13" s="2" t="inlineStr">
        <is>
          <t>CAPEX overrun %</t>
        </is>
      </c>
      <c r="B13" s="14" t="n">
        <v>0</v>
      </c>
      <c r="C13" s="22">
        <f>SUM(CAPEX!D9:M9)</f>
        <v/>
      </c>
      <c r="D13" s="22">
        <f>C13*(1+B13)</f>
        <v/>
      </c>
      <c r="E13" s="6" t="inlineStr">
        <is>
          <t>Applied to cash CAPEX and depreciation</t>
        </is>
      </c>
    </row>
    <row r="14" ht="18" customHeight="1">
      <c r="A14" s="2" t="inlineStr">
        <is>
          <t>Interest rate shock bps</t>
        </is>
      </c>
      <c r="B14" s="16" t="n">
        <v>0</v>
      </c>
      <c r="C14" s="8">
        <f>ASSUMPTIONS!B6</f>
        <v/>
      </c>
      <c r="D14" s="8">
        <f>C14+B14/10000</f>
        <v/>
      </c>
      <c r="E14" s="6" t="inlineStr">
        <is>
          <t>100 bps = 1.00 percentage point</t>
        </is>
      </c>
    </row>
    <row r="15" ht="18" customHeight="1">
      <c r="A15" s="2" t="inlineStr">
        <is>
          <t>AR days</t>
        </is>
      </c>
      <c r="B15" s="16" t="n">
        <v>30</v>
      </c>
      <c r="C15" s="8">
        <f>ASSUMPTIONS!B13</f>
        <v/>
      </c>
      <c r="D15" s="8">
        <f>B15</f>
        <v/>
      </c>
      <c r="E15" s="6" t="inlineStr">
        <is>
          <t>Scenario receivables days</t>
        </is>
      </c>
    </row>
    <row r="16" ht="18" customHeight="1">
      <c r="A16" s="2" t="inlineStr">
        <is>
          <t>Production ramp delay years</t>
        </is>
      </c>
      <c r="B16" s="16" t="n">
        <v>0</v>
      </c>
      <c r="C16" s="8">
        <f>0</f>
        <v/>
      </c>
      <c r="D16" s="8">
        <f>B16</f>
        <v/>
      </c>
      <c r="E16" s="6" t="inlineStr">
        <is>
          <t>0, 1, or 2 years. Volumes shift later.</t>
        </is>
      </c>
    </row>
    <row r="17" ht="18" customHeight="1">
      <c r="A17" s="2" t="inlineStr">
        <is>
          <t>Minimum DSCR</t>
        </is>
      </c>
      <c r="B17" s="17" t="n">
        <v>1.2</v>
      </c>
      <c r="C17" s="11">
        <f>ASSUMPTIONS!B16</f>
        <v/>
      </c>
      <c r="D17" s="11">
        <f>B17</f>
        <v/>
      </c>
      <c r="E17" s="6" t="inlineStr">
        <is>
          <t>Covenant test floor</t>
        </is>
      </c>
    </row>
    <row r="18" ht="18" customHeight="1"/>
    <row r="19" ht="18" customHeight="1"/>
    <row r="20" ht="18" customHeight="1">
      <c r="A20" s="1" t="inlineStr">
        <is>
          <t>Output</t>
        </is>
      </c>
      <c r="B20" s="1" t="n">
        <v>1</v>
      </c>
      <c r="C20" s="1" t="n">
        <v>2</v>
      </c>
      <c r="D20" s="1" t="n">
        <v>3</v>
      </c>
      <c r="E20" s="1" t="n">
        <v>4</v>
      </c>
      <c r="F20" s="1" t="n">
        <v>5</v>
      </c>
      <c r="G20" s="1" t="n">
        <v>6</v>
      </c>
      <c r="H20" s="1" t="n">
        <v>7</v>
      </c>
      <c r="I20" s="1" t="n">
        <v>8</v>
      </c>
      <c r="J20" s="1" t="n">
        <v>9</v>
      </c>
      <c r="K20" s="1" t="n">
        <v>10</v>
      </c>
    </row>
    <row r="21" ht="18" customHeight="1">
      <c r="A21" s="2" t="inlineStr">
        <is>
          <t>Base Revenue</t>
        </is>
      </c>
      <c r="B21" s="9">
        <f>REVENUE!B$8</f>
        <v/>
      </c>
      <c r="C21" s="9">
        <f>REVENUE!C$8</f>
        <v/>
      </c>
      <c r="D21" s="9">
        <f>REVENUE!D$8</f>
        <v/>
      </c>
      <c r="E21" s="9">
        <f>REVENUE!E$8</f>
        <v/>
      </c>
      <c r="F21" s="9">
        <f>REVENUE!F$8</f>
        <v/>
      </c>
      <c r="G21" s="9">
        <f>REVENUE!G$8</f>
        <v/>
      </c>
      <c r="H21" s="9">
        <f>REVENUE!H$8</f>
        <v/>
      </c>
      <c r="I21" s="9">
        <f>REVENUE!I$8</f>
        <v/>
      </c>
      <c r="J21" s="9">
        <f>REVENUE!J$8</f>
        <v/>
      </c>
      <c r="K21" s="9">
        <f>REVENUE!K$8</f>
        <v/>
      </c>
    </row>
    <row r="22" ht="18" customHeight="1">
      <c r="A22" s="2" t="inlineStr">
        <is>
          <t>Scenario Revenue</t>
        </is>
      </c>
      <c r="B22" s="9">
        <f>IF($B$16=0,PRODUCTION!E2,IF($B$16=1,PRODUCTION!E2,PRODUCTION!E2))*(1+$B$11)*INPUTS_OPERATING!B$5*(1+$B$8)+IF($B$16=0,PRODUCTION!F2,IF($B$16=1,PRODUCTION!F2,PRODUCTION!F2))*(1+$B$11)*INPUTS_OPERATING!B$7+IF($B$16=0,PRODUCTION!G2,IF($B$16=1,PRODUCTION!G2,PRODUCTION!G2))*(1+$B$11)*INPUTS_OPERATING!B$9+IF($B$16=0,PRODUCTION!H2,IF($B$16=1,PRODUCTION!H2,PRODUCTION!H2))*(1+$B$11)*INPUTS_OPERATING!B$11</f>
        <v/>
      </c>
      <c r="C22" s="9">
        <f>IF($B$16=0,PRODUCTION!E3,IF($B$16=1,PRODUCTION!E2,PRODUCTION!E2))*(1+$B$11)*INPUTS_OPERATING!C$5*(1+$G$8)+IF($B$16=0,PRODUCTION!F3,IF($B$16=1,PRODUCTION!F2,PRODUCTION!F2))*(1+$B$11)*INPUTS_OPERATING!C$7+IF($B$16=0,PRODUCTION!G3,IF($B$16=1,PRODUCTION!G2,PRODUCTION!G2))*(1+$B$11)*INPUTS_OPERATING!C$9+IF($B$16=0,PRODUCTION!H3,IF($B$16=1,PRODUCTION!H2,PRODUCTION!H2))*(1+$B$11)*INPUTS_OPERATING!C$11</f>
        <v/>
      </c>
      <c r="D22" s="9">
        <f>IF($B$16=0,PRODUCTION!E4,IF($B$16=1,PRODUCTION!E3,PRODUCTION!E2))*(1+$B$11)*INPUTS_OPERATING!D$5*(1+$G$8)+IF($B$16=0,PRODUCTION!F4,IF($B$16=1,PRODUCTION!F3,PRODUCTION!F2))*(1+$B$11)*INPUTS_OPERATING!D$7+IF($B$16=0,PRODUCTION!G4,IF($B$16=1,PRODUCTION!G3,PRODUCTION!G2))*(1+$B$11)*INPUTS_OPERATING!D$9+IF($B$16=0,PRODUCTION!H4,IF($B$16=1,PRODUCTION!H3,PRODUCTION!H2))*(1+$B$11)*INPUTS_OPERATING!D$11</f>
        <v/>
      </c>
      <c r="E22" s="9">
        <f>IF($B$16=0,PRODUCTION!E5,IF($B$16=1,PRODUCTION!E4,PRODUCTION!E3))*(1+$B$11)*INPUTS_OPERATING!E$5*(1+$G$9)+IF($B$16=0,PRODUCTION!F5,IF($B$16=1,PRODUCTION!F4,PRODUCTION!F3))*(1+$B$11)*INPUTS_OPERATING!E$7+IF($B$16=0,PRODUCTION!G5,IF($B$16=1,PRODUCTION!G4,PRODUCTION!G3))*(1+$B$11)*INPUTS_OPERATING!E$9+IF($B$16=0,PRODUCTION!H5,IF($B$16=1,PRODUCTION!H4,PRODUCTION!H3))*(1+$B$11)*INPUTS_OPERATING!E$11</f>
        <v/>
      </c>
      <c r="F22" s="9">
        <f>IF($B$16=0,PRODUCTION!E6,IF($B$16=1,PRODUCTION!E5,PRODUCTION!E4))*(1+$B$11)*INPUTS_OPERATING!F$5*(1+$G$9)+IF($B$16=0,PRODUCTION!F6,IF($B$16=1,PRODUCTION!F5,PRODUCTION!F4))*(1+$B$11)*INPUTS_OPERATING!F$7+IF($B$16=0,PRODUCTION!G6,IF($B$16=1,PRODUCTION!G5,PRODUCTION!G4))*(1+$B$11)*INPUTS_OPERATING!F$9+IF($B$16=0,PRODUCTION!H6,IF($B$16=1,PRODUCTION!H5,PRODUCTION!H4))*(1+$B$11)*INPUTS_OPERATING!F$11</f>
        <v/>
      </c>
      <c r="G22" s="9">
        <f>IF($B$16=0,PRODUCTION!E7,IF($B$16=1,PRODUCTION!E6,PRODUCTION!E5))*(1+$B$11)*INPUTS_OPERATING!G$5*(1+$G$10)+IF($B$16=0,PRODUCTION!F7,IF($B$16=1,PRODUCTION!F6,PRODUCTION!F5))*(1+$B$11)*INPUTS_OPERATING!G$7+IF($B$16=0,PRODUCTION!G7,IF($B$16=1,PRODUCTION!G6,PRODUCTION!G5))*(1+$B$11)*INPUTS_OPERATING!G$9+IF($B$16=0,PRODUCTION!H7,IF($B$16=1,PRODUCTION!H6,PRODUCTION!H5))*(1+$B$11)*INPUTS_OPERATING!G$11</f>
        <v/>
      </c>
      <c r="H22" s="9">
        <f>IF($B$16=0,PRODUCTION!E8,IF($B$16=1,PRODUCTION!E7,PRODUCTION!E6))*(1+$B$11)*INPUTS_OPERATING!H$5*(1+$G$10)+IF($B$16=0,PRODUCTION!F8,IF($B$16=1,PRODUCTION!F7,PRODUCTION!F6))*(1+$B$11)*INPUTS_OPERATING!H$7+IF($B$16=0,PRODUCTION!G8,IF($B$16=1,PRODUCTION!G7,PRODUCTION!G6))*(1+$B$11)*INPUTS_OPERATING!H$9+IF($B$16=0,PRODUCTION!H8,IF($B$16=1,PRODUCTION!H7,PRODUCTION!H6))*(1+$B$11)*INPUTS_OPERATING!H$11</f>
        <v/>
      </c>
      <c r="I22" s="9">
        <f>IF($B$16=0,PRODUCTION!E9,IF($B$16=1,PRODUCTION!E8,PRODUCTION!E7))*(1+$B$11)*INPUTS_OPERATING!I$5*(1+$G$10)+IF($B$16=0,PRODUCTION!F9,IF($B$16=1,PRODUCTION!F8,PRODUCTION!F7))*(1+$B$11)*INPUTS_OPERATING!I$7+IF($B$16=0,PRODUCTION!G9,IF($B$16=1,PRODUCTION!G8,PRODUCTION!G7))*(1+$B$11)*INPUTS_OPERATING!I$9+IF($B$16=0,PRODUCTION!H9,IF($B$16=1,PRODUCTION!H8,PRODUCTION!H7))*(1+$B$11)*INPUTS_OPERATING!I$11</f>
        <v/>
      </c>
      <c r="J22" s="9">
        <f>IF($B$16=0,PRODUCTION!E10,IF($B$16=1,PRODUCTION!E9,PRODUCTION!E8))*(1+$B$11)*INPUTS_OPERATING!J$5*(1+$G$10)+IF($B$16=0,PRODUCTION!F10,IF($B$16=1,PRODUCTION!F9,PRODUCTION!F8))*(1+$B$11)*INPUTS_OPERATING!J$7+IF($B$16=0,PRODUCTION!G10,IF($B$16=1,PRODUCTION!G9,PRODUCTION!G8))*(1+$B$11)*INPUTS_OPERATING!J$9+IF($B$16=0,PRODUCTION!H10,IF($B$16=1,PRODUCTION!H9,PRODUCTION!H8))*(1+$B$11)*INPUTS_OPERATING!J$11</f>
        <v/>
      </c>
      <c r="K22" s="9">
        <f>IF($B$16=0,PRODUCTION!E11,IF($B$16=1,PRODUCTION!E10,PRODUCTION!E9))*(1+$B$11)*INPUTS_OPERATING!K$5*(1+$G$10)+IF($B$16=0,PRODUCTION!F11,IF($B$16=1,PRODUCTION!F10,PRODUCTION!F9))*(1+$B$11)*INPUTS_OPERATING!K$7+IF($B$16=0,PRODUCTION!G11,IF($B$16=1,PRODUCTION!G10,PRODUCTION!G9))*(1+$B$11)*INPUTS_OPERATING!K$9+IF($B$16=0,PRODUCTION!H11,IF($B$16=1,PRODUCTION!H10,PRODUCTION!H9))*(1+$B$11)*INPUTS_OPERATING!K$11</f>
        <v/>
      </c>
    </row>
    <row r="23" ht="18" customHeight="1">
      <c r="A23" s="2" t="inlineStr">
        <is>
          <t>Base EBITDA</t>
        </is>
      </c>
      <c r="B23" s="9">
        <f>'P&amp;L'!B$6</f>
        <v/>
      </c>
      <c r="C23" s="9">
        <f>'P&amp;L'!C$6</f>
        <v/>
      </c>
      <c r="D23" s="9">
        <f>'P&amp;L'!D$6</f>
        <v/>
      </c>
      <c r="E23" s="9">
        <f>'P&amp;L'!E$6</f>
        <v/>
      </c>
      <c r="F23" s="9">
        <f>'P&amp;L'!F$6</f>
        <v/>
      </c>
      <c r="G23" s="9">
        <f>'P&amp;L'!G$6</f>
        <v/>
      </c>
      <c r="H23" s="9">
        <f>'P&amp;L'!H$6</f>
        <v/>
      </c>
      <c r="I23" s="9">
        <f>'P&amp;L'!I$6</f>
        <v/>
      </c>
      <c r="J23" s="9">
        <f>'P&amp;L'!J$6</f>
        <v/>
      </c>
      <c r="K23" s="9">
        <f>'P&amp;L'!K$6</f>
        <v/>
      </c>
    </row>
    <row r="24" ht="18" customHeight="1">
      <c r="A24" s="2" t="inlineStr">
        <is>
          <t>Scenario OPEX</t>
        </is>
      </c>
      <c r="B24" s="9">
        <f>OPEX!B$4*(1+$B$9)+$B$10+(OPEX!B$14-OPEX!B$4)*(1+$B$12)</f>
        <v/>
      </c>
      <c r="C24" s="9">
        <f>OPEX!C$4*(1+$B$9)+$B$10+(OPEX!C$14-OPEX!C$4)*(1+$B$12)</f>
        <v/>
      </c>
      <c r="D24" s="9">
        <f>OPEX!D$4*(1+$B$9)+$B$10+(OPEX!D$14-OPEX!D$4)*(1+$B$12)</f>
        <v/>
      </c>
      <c r="E24" s="9">
        <f>OPEX!E$4*(1+$B$9)+$B$10+(OPEX!E$14-OPEX!E$4)*(1+$B$12)</f>
        <v/>
      </c>
      <c r="F24" s="9">
        <f>OPEX!F$4*(1+$B$9)+$B$10+(OPEX!F$14-OPEX!F$4)*(1+$B$12)</f>
        <v/>
      </c>
      <c r="G24" s="9">
        <f>OPEX!G$4*(1+$B$9)+$B$10+(OPEX!G$14-OPEX!G$4)*(1+$B$12)</f>
        <v/>
      </c>
      <c r="H24" s="9">
        <f>OPEX!H$4*(1+$B$9)+$B$10+(OPEX!H$14-OPEX!H$4)*(1+$B$12)</f>
        <v/>
      </c>
      <c r="I24" s="9">
        <f>OPEX!I$4*(1+$B$9)+$B$10+(OPEX!I$14-OPEX!I$4)*(1+$B$12)</f>
        <v/>
      </c>
      <c r="J24" s="9">
        <f>OPEX!J$4*(1+$B$9)+$B$10+(OPEX!J$14-OPEX!J$4)*(1+$B$12)</f>
        <v/>
      </c>
      <c r="K24" s="9">
        <f>OPEX!K$4*(1+$B$9)+$B$10+(OPEX!K$14-OPEX!K$4)*(1+$B$12)</f>
        <v/>
      </c>
    </row>
    <row r="25" ht="18" customHeight="1">
      <c r="A25" s="2" t="inlineStr">
        <is>
          <t>Scenario EBITDA</t>
        </is>
      </c>
      <c r="B25" s="9">
        <f>B22-B24</f>
        <v/>
      </c>
      <c r="C25" s="9">
        <f>C22-C24</f>
        <v/>
      </c>
      <c r="D25" s="9">
        <f>D22-D24</f>
        <v/>
      </c>
      <c r="E25" s="9">
        <f>E22-E24</f>
        <v/>
      </c>
      <c r="F25" s="9">
        <f>F22-F24</f>
        <v/>
      </c>
      <c r="G25" s="9">
        <f>G22-G24</f>
        <v/>
      </c>
      <c r="H25" s="9">
        <f>H22-H24</f>
        <v/>
      </c>
      <c r="I25" s="9">
        <f>I22-I24</f>
        <v/>
      </c>
      <c r="J25" s="9">
        <f>J22-J24</f>
        <v/>
      </c>
      <c r="K25" s="9">
        <f>K22-K24</f>
        <v/>
      </c>
    </row>
    <row r="26" ht="18" customHeight="1">
      <c r="A26" s="2" t="inlineStr">
        <is>
          <t>Scenario Depreciation</t>
        </is>
      </c>
      <c r="B26" s="9">
        <f>'P&amp;L'!B$7*(1+$B$13)</f>
        <v/>
      </c>
      <c r="C26" s="9">
        <f>'P&amp;L'!C$7*(1+$B$13)</f>
        <v/>
      </c>
      <c r="D26" s="9">
        <f>'P&amp;L'!D$7*(1+$B$13)</f>
        <v/>
      </c>
      <c r="E26" s="9">
        <f>'P&amp;L'!E$7*(1+$B$13)</f>
        <v/>
      </c>
      <c r="F26" s="9">
        <f>'P&amp;L'!F$7*(1+$B$13)</f>
        <v/>
      </c>
      <c r="G26" s="9">
        <f>'P&amp;L'!G$7*(1+$B$13)</f>
        <v/>
      </c>
      <c r="H26" s="9">
        <f>'P&amp;L'!H$7*(1+$B$13)</f>
        <v/>
      </c>
      <c r="I26" s="9">
        <f>'P&amp;L'!I$7*(1+$B$13)</f>
        <v/>
      </c>
      <c r="J26" s="9">
        <f>'P&amp;L'!J$7*(1+$B$13)</f>
        <v/>
      </c>
      <c r="K26" s="9">
        <f>'P&amp;L'!K$7*(1+$B$13)</f>
        <v/>
      </c>
    </row>
    <row r="27" ht="18" customHeight="1">
      <c r="A27" s="2" t="inlineStr">
        <is>
          <t>Scenario Cash CAPEX</t>
        </is>
      </c>
      <c r="B27" s="9">
        <f>(CAPEX!D$9-IF(B$20=1,ASSUMPTIONS!$B$10,0))*(1+$B$13)</f>
        <v/>
      </c>
      <c r="C27" s="9">
        <f>(CAPEX!E$9-IF(C$20=1,ASSUMPTIONS!$B$10,0))*(1+$B$13)</f>
        <v/>
      </c>
      <c r="D27" s="9">
        <f>(CAPEX!F$9-IF(D$20=1,ASSUMPTIONS!$B$10,0))*(1+$B$13)</f>
        <v/>
      </c>
      <c r="E27" s="9">
        <f>(CAPEX!G$9-IF(E$20=1,ASSUMPTIONS!$B$10,0))*(1+$B$13)</f>
        <v/>
      </c>
      <c r="F27" s="9">
        <f>(CAPEX!H$9-IF(F$20=1,ASSUMPTIONS!$B$10,0))*(1+$B$13)</f>
        <v/>
      </c>
      <c r="G27" s="9">
        <f>(CAPEX!I$9-IF(G$20=1,ASSUMPTIONS!$B$10,0))*(1+$B$13)</f>
        <v/>
      </c>
      <c r="H27" s="9">
        <f>(CAPEX!J$9-IF(H$20=1,ASSUMPTIONS!$B$10,0))*(1+$B$13)</f>
        <v/>
      </c>
      <c r="I27" s="9">
        <f>(CAPEX!K$9-IF(I$20=1,ASSUMPTIONS!$B$10,0))*(1+$B$13)</f>
        <v/>
      </c>
      <c r="J27" s="9">
        <f>(CAPEX!L$9-IF(J$20=1,ASSUMPTIONS!$B$10,0))*(1+$B$13)</f>
        <v/>
      </c>
      <c r="K27" s="9">
        <f>(CAPEX!M$9-IF(K$20=1,ASSUMPTIONS!$B$10,0))*(1+$B$13)</f>
        <v/>
      </c>
    </row>
    <row r="28" ht="18" customHeight="1">
      <c r="A28" s="2" t="inlineStr">
        <is>
          <t>Scenario NWC</t>
        </is>
      </c>
      <c r="B28" s="9">
        <f>B22/365*$B$15+B24/365*ASSUMPTIONS!$B$14-B24/365*ASSUMPTIONS!$B$15</f>
        <v/>
      </c>
      <c r="C28" s="9">
        <f>C22/365*$B$15+C24/365*ASSUMPTIONS!$B$14-C24/365*ASSUMPTIONS!$B$15</f>
        <v/>
      </c>
      <c r="D28" s="9">
        <f>D22/365*$B$15+D24/365*ASSUMPTIONS!$B$14-D24/365*ASSUMPTIONS!$B$15</f>
        <v/>
      </c>
      <c r="E28" s="9">
        <f>E22/365*$B$15+E24/365*ASSUMPTIONS!$B$14-E24/365*ASSUMPTIONS!$B$15</f>
        <v/>
      </c>
      <c r="F28" s="9">
        <f>F22/365*$B$15+F24/365*ASSUMPTIONS!$B$14-F24/365*ASSUMPTIONS!$B$15</f>
        <v/>
      </c>
      <c r="G28" s="9">
        <f>G22/365*$B$15+G24/365*ASSUMPTIONS!$B$14-G24/365*ASSUMPTIONS!$B$15</f>
        <v/>
      </c>
      <c r="H28" s="9">
        <f>H22/365*$B$15+H24/365*ASSUMPTIONS!$B$14-H24/365*ASSUMPTIONS!$B$15</f>
        <v/>
      </c>
      <c r="I28" s="9">
        <f>I22/365*$B$15+I24/365*ASSUMPTIONS!$B$14-I24/365*ASSUMPTIONS!$B$15</f>
        <v/>
      </c>
      <c r="J28" s="9">
        <f>J22/365*$B$15+J24/365*ASSUMPTIONS!$B$14-J24/365*ASSUMPTIONS!$B$15</f>
        <v/>
      </c>
      <c r="K28" s="9">
        <f>K22/365*$B$15+K24/365*ASSUMPTIONS!$B$14-K24/365*ASSUMPTIONS!$B$15</f>
        <v/>
      </c>
    </row>
    <row r="29" ht="18" customHeight="1">
      <c r="A29" s="2" t="inlineStr">
        <is>
          <t>Delta NWC</t>
        </is>
      </c>
      <c r="B29" s="9">
        <f>B28</f>
        <v/>
      </c>
      <c r="C29" s="9">
        <f>C28-B28</f>
        <v/>
      </c>
      <c r="D29" s="9">
        <f>D28-C28</f>
        <v/>
      </c>
      <c r="E29" s="9">
        <f>E28-D28</f>
        <v/>
      </c>
      <c r="F29" s="9">
        <f>F28-E28</f>
        <v/>
      </c>
      <c r="G29" s="9">
        <f>G28-F28</f>
        <v/>
      </c>
      <c r="H29" s="9">
        <f>H28-G28</f>
        <v/>
      </c>
      <c r="I29" s="9">
        <f>I28-H28</f>
        <v/>
      </c>
      <c r="J29" s="9">
        <f>J28-I28</f>
        <v/>
      </c>
      <c r="K29" s="9">
        <f>K28-J28</f>
        <v/>
      </c>
    </row>
    <row r="30" ht="18" customHeight="1">
      <c r="A30" s="2" t="inlineStr">
        <is>
          <t>Opening Debt</t>
        </is>
      </c>
      <c r="B30" s="9">
        <f>ASSUMPTIONS!$B$5</f>
        <v/>
      </c>
      <c r="C30" s="9">
        <f>B34</f>
        <v/>
      </c>
      <c r="D30" s="9">
        <f>C34</f>
        <v/>
      </c>
      <c r="E30" s="9">
        <f>D34</f>
        <v/>
      </c>
      <c r="F30" s="9">
        <f>E34</f>
        <v/>
      </c>
      <c r="G30" s="9">
        <f>F34</f>
        <v/>
      </c>
      <c r="H30" s="9">
        <f>G34</f>
        <v/>
      </c>
      <c r="I30" s="9">
        <f>H34</f>
        <v/>
      </c>
      <c r="J30" s="9">
        <f>I34</f>
        <v/>
      </c>
      <c r="K30" s="9">
        <f>J34</f>
        <v/>
      </c>
    </row>
    <row r="31" ht="18" customHeight="1">
      <c r="A31" s="2" t="inlineStr">
        <is>
          <t>Interest</t>
        </is>
      </c>
      <c r="B31" s="9">
        <f>B30*$D$14</f>
        <v/>
      </c>
      <c r="C31" s="9">
        <f>C30*$D$14</f>
        <v/>
      </c>
      <c r="D31" s="9">
        <f>D30*$D$14</f>
        <v/>
      </c>
      <c r="E31" s="9">
        <f>E30*$D$14</f>
        <v/>
      </c>
      <c r="F31" s="9">
        <f>F30*$D$14</f>
        <v/>
      </c>
      <c r="G31" s="9">
        <f>G30*$D$14</f>
        <v/>
      </c>
      <c r="H31" s="9">
        <f>H30*$D$14</f>
        <v/>
      </c>
      <c r="I31" s="9">
        <f>I30*$D$14</f>
        <v/>
      </c>
      <c r="J31" s="9">
        <f>J30*$D$14</f>
        <v/>
      </c>
      <c r="K31" s="9">
        <f>K30*$D$14</f>
        <v/>
      </c>
    </row>
    <row r="32" ht="18" customHeight="1">
      <c r="A32" s="2" t="inlineStr">
        <is>
          <t>Debt Service</t>
        </is>
      </c>
      <c r="B32" s="9">
        <f>IF(B$20&lt;=ASSUMPTIONS!$B$8,0,MIN(B30+B31,-PMT($D$14,MAX(1,ASSUMPTIONS!$B$7-B$20+1),B30),MAX(0,B36/$B$17)))</f>
        <v/>
      </c>
      <c r="C32" s="9">
        <f>IF(C$20&lt;=ASSUMPTIONS!$B$8,0,MIN(C30+C31,-PMT($D$14,MAX(1,ASSUMPTIONS!$B$7-C$20+1),C30),MAX(0,C36/$B$17)))</f>
        <v/>
      </c>
      <c r="D32" s="9">
        <f>IF(D$20&lt;=ASSUMPTIONS!$B$8,0,MIN(D30+D31,-PMT($D$14,MAX(1,ASSUMPTIONS!$B$7-D$20+1),D30),MAX(0,D36/$B$17)))</f>
        <v/>
      </c>
      <c r="E32" s="9">
        <f>IF(E$20&lt;=ASSUMPTIONS!$B$8,0,MIN(E30+E31,-PMT($D$14,MAX(1,ASSUMPTIONS!$B$7-E$20+1),E30),MAX(0,E36/$B$17)))</f>
        <v/>
      </c>
      <c r="F32" s="9">
        <f>IF(F$20&lt;=ASSUMPTIONS!$B$8,0,MIN(F30+F31,-PMT($D$14,MAX(1,ASSUMPTIONS!$B$7-F$20+1),F30),MAX(0,F36/$B$17)))</f>
        <v/>
      </c>
      <c r="G32" s="9">
        <f>IF(G$20&lt;=ASSUMPTIONS!$B$8,0,MIN(G30+G31,-PMT($D$14,MAX(1,ASSUMPTIONS!$B$7-G$20+1),G30),MAX(0,G36/$B$17)))</f>
        <v/>
      </c>
      <c r="H32" s="9">
        <f>IF(H$20&lt;=ASSUMPTIONS!$B$8,0,MIN(H30+H31,-PMT($D$14,MAX(1,ASSUMPTIONS!$B$7-H$20+1),H30),MAX(0,H36/$B$17)))</f>
        <v/>
      </c>
      <c r="I32" s="9">
        <f>IF(I$20&lt;=ASSUMPTIONS!$B$8,0,MIN(I30+I31,-PMT($D$14,MAX(1,ASSUMPTIONS!$B$7-I$20+1),I30),MAX(0,I36/$B$17)))</f>
        <v/>
      </c>
      <c r="J32" s="9">
        <f>IF(J$20&lt;=ASSUMPTIONS!$B$8,0,MIN(J30+J31,-PMT($D$14,MAX(1,ASSUMPTIONS!$B$7-J$20+1),J30),MAX(0,J36/$B$17)))</f>
        <v/>
      </c>
      <c r="K32" s="9">
        <f>IF(K$20&lt;=ASSUMPTIONS!$B$8,0,MIN(K30+K31,-PMT($D$14,MAX(1,ASSUMPTIONS!$B$7-K$20+1),K30),MAX(0,K36/$B$17)))</f>
        <v/>
      </c>
    </row>
    <row r="33" ht="18" customHeight="1">
      <c r="A33" s="2" t="inlineStr">
        <is>
          <t>Principal</t>
        </is>
      </c>
      <c r="B33" s="9">
        <f>MAX(0,B32-B31)</f>
        <v/>
      </c>
      <c r="C33" s="9">
        <f>MAX(0,C32-C31)</f>
        <v/>
      </c>
      <c r="D33" s="9">
        <f>MAX(0,D32-D31)</f>
        <v/>
      </c>
      <c r="E33" s="9">
        <f>MAX(0,E32-E31)</f>
        <v/>
      </c>
      <c r="F33" s="9">
        <f>MAX(0,F32-F31)</f>
        <v/>
      </c>
      <c r="G33" s="9">
        <f>MAX(0,G32-G31)</f>
        <v/>
      </c>
      <c r="H33" s="9">
        <f>MAX(0,H32-H31)</f>
        <v/>
      </c>
      <c r="I33" s="9">
        <f>MAX(0,I32-I31)</f>
        <v/>
      </c>
      <c r="J33" s="9">
        <f>MAX(0,J32-J31)</f>
        <v/>
      </c>
      <c r="K33" s="9">
        <f>MAX(0,K32-K31)</f>
        <v/>
      </c>
    </row>
    <row r="34" ht="18" customHeight="1">
      <c r="A34" s="2" t="inlineStr">
        <is>
          <t>Closing Debt</t>
        </is>
      </c>
      <c r="B34" s="9">
        <f>MAX(0,B30+B31-B32)</f>
        <v/>
      </c>
      <c r="C34" s="9">
        <f>MAX(0,C30+C31-C32)</f>
        <v/>
      </c>
      <c r="D34" s="9">
        <f>MAX(0,D30+D31-D32)</f>
        <v/>
      </c>
      <c r="E34" s="9">
        <f>MAX(0,E30+E31-E32)</f>
        <v/>
      </c>
      <c r="F34" s="9">
        <f>MAX(0,F30+F31-F32)</f>
        <v/>
      </c>
      <c r="G34" s="9">
        <f>MAX(0,G30+G31-G32)</f>
        <v/>
      </c>
      <c r="H34" s="9">
        <f>MAX(0,H30+H31-H32)</f>
        <v/>
      </c>
      <c r="I34" s="9">
        <f>MAX(0,I30+I31-I32)</f>
        <v/>
      </c>
      <c r="J34" s="9">
        <f>MAX(0,J30+J31-J32)</f>
        <v/>
      </c>
      <c r="K34" s="9">
        <f>MAX(0,K30+K31-K32)</f>
        <v/>
      </c>
    </row>
    <row r="35" ht="18" customHeight="1">
      <c r="A35" s="2" t="inlineStr">
        <is>
          <t>Cash Tax</t>
        </is>
      </c>
      <c r="B35" s="9">
        <f>MAX(0,(B25-B26-B31)*ASSUMPTIONS!$B$9)</f>
        <v/>
      </c>
      <c r="C35" s="9">
        <f>MAX(0,(C25-C26-C31)*ASSUMPTIONS!$B$9)</f>
        <v/>
      </c>
      <c r="D35" s="9">
        <f>MAX(0,(D25-D26-D31)*ASSUMPTIONS!$B$9)</f>
        <v/>
      </c>
      <c r="E35" s="9">
        <f>MAX(0,(E25-E26-E31)*ASSUMPTIONS!$B$9)</f>
        <v/>
      </c>
      <c r="F35" s="9">
        <f>MAX(0,(F25-F26-F31)*ASSUMPTIONS!$B$9)</f>
        <v/>
      </c>
      <c r="G35" s="9">
        <f>MAX(0,(G25-G26-G31)*ASSUMPTIONS!$B$9)</f>
        <v/>
      </c>
      <c r="H35" s="9">
        <f>MAX(0,(H25-H26-H31)*ASSUMPTIONS!$B$9)</f>
        <v/>
      </c>
      <c r="I35" s="9">
        <f>MAX(0,(I25-I26-I31)*ASSUMPTIONS!$B$9)</f>
        <v/>
      </c>
      <c r="J35" s="9">
        <f>MAX(0,(J25-J26-J31)*ASSUMPTIONS!$B$9)</f>
        <v/>
      </c>
      <c r="K35" s="9">
        <f>MAX(0,(K25-K26-K31)*ASSUMPTIONS!$B$9)</f>
        <v/>
      </c>
    </row>
    <row r="36" ht="18" customHeight="1">
      <c r="A36" s="2" t="inlineStr">
        <is>
          <t>CFADS</t>
        </is>
      </c>
      <c r="B36" s="9">
        <f>B25-B35-B29</f>
        <v/>
      </c>
      <c r="C36" s="9">
        <f>C25-C35-C29</f>
        <v/>
      </c>
      <c r="D36" s="9">
        <f>D25-D35-D29</f>
        <v/>
      </c>
      <c r="E36" s="9">
        <f>E25-E35-E29</f>
        <v/>
      </c>
      <c r="F36" s="9">
        <f>F25-F35-F29</f>
        <v/>
      </c>
      <c r="G36" s="9">
        <f>G25-G35-G29</f>
        <v/>
      </c>
      <c r="H36" s="9">
        <f>H25-H35-H29</f>
        <v/>
      </c>
      <c r="I36" s="9">
        <f>I25-I35-I29</f>
        <v/>
      </c>
      <c r="J36" s="9">
        <f>J25-J35-J29</f>
        <v/>
      </c>
      <c r="K36" s="9">
        <f>K25-K35-K29</f>
        <v/>
      </c>
    </row>
    <row r="37" ht="18" customHeight="1">
      <c r="A37" s="2" t="inlineStr">
        <is>
          <t>DSCR</t>
        </is>
      </c>
      <c r="B37" s="11">
        <f>IF(B32=0,"",B36/B32)</f>
        <v/>
      </c>
      <c r="C37" s="11">
        <f>IF(C32=0,"",C36/C32)</f>
        <v/>
      </c>
      <c r="D37" s="11">
        <f>IF(D32=0,"",D36/D32)</f>
        <v/>
      </c>
      <c r="E37" s="11">
        <f>IF(E32=0,"",E36/E32)</f>
        <v/>
      </c>
      <c r="F37" s="11">
        <f>IF(F32=0,"",F36/F32)</f>
        <v/>
      </c>
      <c r="G37" s="11">
        <f>IF(G32=0,"",G36/G32)</f>
        <v/>
      </c>
      <c r="H37" s="11">
        <f>IF(H32=0,"",H36/H32)</f>
        <v/>
      </c>
      <c r="I37" s="11">
        <f>IF(I32=0,"",I36/I32)</f>
        <v/>
      </c>
      <c r="J37" s="11">
        <f>IF(J32=0,"",J36/J32)</f>
        <v/>
      </c>
      <c r="K37" s="11">
        <f>IF(K32=0,"",K36/K32)</f>
        <v/>
      </c>
    </row>
    <row r="38" ht="18" customHeight="1">
      <c r="A38" s="2" t="inlineStr">
        <is>
          <t>Ending Cash</t>
        </is>
      </c>
      <c r="B38" s="9">
        <f>B36-B27+IF(B$20=1,ASSUMPTIONS!$B$5,0)-B32</f>
        <v/>
      </c>
      <c r="C38" s="9">
        <f>B38+C36-C27-C32</f>
        <v/>
      </c>
      <c r="D38" s="9">
        <f>C38+D36-D27-D32</f>
        <v/>
      </c>
      <c r="E38" s="9">
        <f>D38+E36-E27-E32</f>
        <v/>
      </c>
      <c r="F38" s="9">
        <f>E38+F36-F27-F32</f>
        <v/>
      </c>
      <c r="G38" s="9">
        <f>F38+G36-G27-G32</f>
        <v/>
      </c>
      <c r="H38" s="9">
        <f>G38+H36-H27-H32</f>
        <v/>
      </c>
      <c r="I38" s="9">
        <f>H38+I36-I27-I32</f>
        <v/>
      </c>
      <c r="J38" s="9">
        <f>I38+J36-J27-J32</f>
        <v/>
      </c>
      <c r="K38" s="9">
        <f>J38+K36-K27-K32</f>
        <v/>
      </c>
    </row>
    <row r="39" ht="18" customHeight="1">
      <c r="A39" s="2" t="inlineStr">
        <is>
          <t>Status</t>
        </is>
      </c>
      <c r="B39" s="6">
        <f>IF(B38&lt;0,"CASH GAP",IF(AND(B32&gt;0,B37&lt;$B$17),"DSCR WATCH","OK"))</f>
        <v/>
      </c>
      <c r="C39" s="6">
        <f>IF(C38&lt;0,"CASH GAP",IF(AND(C32&gt;0,C37&lt;$B$17),"DSCR WATCH","OK"))</f>
        <v/>
      </c>
      <c r="D39" s="6">
        <f>IF(D38&lt;0,"CASH GAP",IF(AND(D32&gt;0,D37&lt;$B$17),"DSCR WATCH","OK"))</f>
        <v/>
      </c>
      <c r="E39" s="6">
        <f>IF(E38&lt;0,"CASH GAP",IF(AND(E32&gt;0,E37&lt;$B$17),"DSCR WATCH","OK"))</f>
        <v/>
      </c>
      <c r="F39" s="6">
        <f>IF(F38&lt;0,"CASH GAP",IF(AND(F32&gt;0,F37&lt;$B$17),"DSCR WATCH","OK"))</f>
        <v/>
      </c>
      <c r="G39" s="6">
        <f>IF(G38&lt;0,"CASH GAP",IF(AND(G32&gt;0,G37&lt;$B$17),"DSCR WATCH","OK"))</f>
        <v/>
      </c>
      <c r="H39" s="6">
        <f>IF(H38&lt;0,"CASH GAP",IF(AND(H32&gt;0,H37&lt;$B$17),"DSCR WATCH","OK"))</f>
        <v/>
      </c>
      <c r="I39" s="6">
        <f>IF(I38&lt;0,"CASH GAP",IF(AND(I32&gt;0,I37&lt;$B$17),"DSCR WATCH","OK"))</f>
        <v/>
      </c>
      <c r="J39" s="6">
        <f>IF(J38&lt;0,"CASH GAP",IF(AND(J32&gt;0,J37&lt;$B$17),"DSCR WATCH","OK"))</f>
        <v/>
      </c>
      <c r="K39" s="6">
        <f>IF(K38&lt;0,"CASH GAP",IF(AND(K32&gt;0,K37&lt;$B$17),"DSCR WATCH","OK"))</f>
        <v/>
      </c>
    </row>
    <row r="40" ht="18" customHeight="1"/>
    <row r="41" ht="18" customHeight="1"/>
    <row r="42" ht="18" customHeight="1">
      <c r="A42" s="24" t="inlineStr">
        <is>
          <t>Chart dashboard is displayed to the right in columns M:V.</t>
        </is>
      </c>
    </row>
    <row r="43" ht="18" customHeight="1">
      <c r="A43" s="25" t="n"/>
      <c r="B43" s="25" t="n"/>
      <c r="C43" s="25" t="n"/>
      <c r="D43" s="25" t="n"/>
      <c r="E43" s="25" t="n"/>
      <c r="F43" s="25" t="n"/>
      <c r="G43" s="25" t="n"/>
      <c r="H43" s="25" t="n"/>
      <c r="I43" s="25" t="n"/>
      <c r="J43" s="25" t="n"/>
      <c r="K43" s="25" t="n"/>
    </row>
    <row r="44" ht="18" customHeight="1">
      <c r="A44" s="25" t="n"/>
      <c r="B44" s="25" t="n"/>
      <c r="C44" s="25" t="n"/>
      <c r="D44" s="25" t="n"/>
      <c r="E44" s="25" t="n"/>
      <c r="F44" s="25" t="n"/>
      <c r="G44" s="25" t="n"/>
      <c r="H44" s="25" t="n"/>
      <c r="I44" s="25" t="n"/>
      <c r="J44" s="25" t="n"/>
      <c r="K44" s="25" t="n"/>
    </row>
    <row r="45" ht="18" customHeight="1">
      <c r="A45" s="25" t="n"/>
      <c r="B45" s="25" t="n"/>
      <c r="C45" s="25" t="n"/>
      <c r="D45" s="25" t="n"/>
      <c r="E45" s="25" t="n"/>
      <c r="F45" s="25" t="n"/>
      <c r="G45" s="25" t="n"/>
      <c r="H45" s="25" t="n"/>
      <c r="I45" s="25" t="n"/>
      <c r="J45" s="25" t="n"/>
      <c r="K45" s="25" t="n"/>
    </row>
    <row r="46" ht="18" customHeight="1">
      <c r="A46" s="25" t="n"/>
      <c r="B46" s="25" t="n"/>
      <c r="C46" s="25" t="n"/>
      <c r="D46" s="25" t="n"/>
      <c r="E46" s="25" t="n"/>
      <c r="F46" s="25" t="n"/>
      <c r="G46" s="25" t="n"/>
      <c r="H46" s="25" t="n"/>
      <c r="I46" s="25" t="n"/>
      <c r="J46" s="25" t="n"/>
      <c r="K46" s="25" t="n"/>
    </row>
    <row r="47" ht="18" customHeight="1">
      <c r="A47" s="25" t="n"/>
      <c r="B47" s="25" t="n"/>
      <c r="C47" s="25" t="n"/>
      <c r="D47" s="25" t="n"/>
      <c r="E47" s="25" t="n"/>
      <c r="F47" s="25" t="n"/>
      <c r="G47" s="25" t="n"/>
      <c r="H47" s="25" t="n"/>
      <c r="I47" s="25" t="n"/>
      <c r="J47" s="25" t="n"/>
      <c r="K47" s="25" t="n"/>
    </row>
    <row r="48" ht="18" customHeight="1">
      <c r="A48" s="25" t="n"/>
      <c r="B48" s="25" t="n"/>
      <c r="C48" s="25" t="n"/>
      <c r="D48" s="25" t="n"/>
      <c r="E48" s="25" t="n"/>
      <c r="F48" s="25" t="n"/>
      <c r="G48" s="25" t="n"/>
      <c r="H48" s="25" t="n"/>
      <c r="I48" s="25" t="n"/>
      <c r="J48" s="25" t="n"/>
      <c r="K48" s="25" t="n"/>
    </row>
    <row r="49" ht="18" customHeight="1">
      <c r="A49" s="25" t="n"/>
      <c r="B49" s="25" t="n"/>
      <c r="C49" s="25" t="n"/>
      <c r="D49" s="25" t="n"/>
      <c r="E49" s="25" t="n"/>
      <c r="F49" s="25" t="n"/>
      <c r="G49" s="25" t="n"/>
      <c r="H49" s="25" t="n"/>
      <c r="I49" s="25" t="n"/>
      <c r="J49" s="25" t="n"/>
      <c r="K49" s="25" t="n"/>
    </row>
    <row r="50" ht="18" customHeight="1">
      <c r="A50" s="25" t="n"/>
      <c r="B50" s="25" t="n"/>
      <c r="C50" s="25" t="n"/>
      <c r="D50" s="25" t="n"/>
      <c r="E50" s="25" t="n"/>
      <c r="F50" s="25" t="n"/>
      <c r="G50" s="25" t="n"/>
      <c r="H50" s="25" t="n"/>
      <c r="I50" s="25" t="n"/>
      <c r="J50" s="25" t="n"/>
      <c r="K50" s="25" t="n"/>
    </row>
    <row r="51" ht="18" customHeight="1"/>
    <row r="52" ht="18" customHeight="1">
      <c r="A52" s="1" t="inlineStr">
        <is>
          <t>Notes</t>
        </is>
      </c>
    </row>
    <row r="53" ht="18" customHeight="1">
      <c r="A53" s="6" t="inlineStr">
        <is>
          <t>Column B inputs are the scenario controls. Column C shows the base value. Column D shows the live scenario value.</t>
        </is>
      </c>
    </row>
    <row r="54" ht="18" customHeight="1">
      <c r="A54" s="6" t="inlineStr">
        <is>
          <t>The bar rows are intentionally simple in-cell graphics so the workbook remains self-contained without external chart dependencies.</t>
        </is>
      </c>
    </row>
    <row r="55" ht="18" customHeight="1"/>
    <row r="56" hidden="1" ht="18" customHeight="1">
      <c r="A56" t="inlineStr">
        <is>
          <t>Minimum DSCR Floor</t>
        </is>
      </c>
      <c r="B56" s="21">
        <f>$B$17</f>
        <v/>
      </c>
      <c r="C56" s="21">
        <f>$B$17</f>
        <v/>
      </c>
      <c r="D56" s="21">
        <f>$B$17</f>
        <v/>
      </c>
      <c r="E56" s="21">
        <f>$B$17</f>
        <v/>
      </c>
      <c r="F56" s="21">
        <f>$B$17</f>
        <v/>
      </c>
      <c r="G56" s="21">
        <f>$B$17</f>
        <v/>
      </c>
      <c r="H56" s="21">
        <f>$B$17</f>
        <v/>
      </c>
      <c r="I56" s="21">
        <f>$B$17</f>
        <v/>
      </c>
      <c r="J56" s="21">
        <f>$B$17</f>
        <v/>
      </c>
      <c r="K56" s="21">
        <f>$B$17</f>
        <v/>
      </c>
    </row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</sheetData>
  <mergeCells count="3">
    <mergeCell ref="M1:V1"/>
    <mergeCell ref="A42:K42"/>
    <mergeCell ref="M2:V2"/>
  </mergeCells>
  <conditionalFormatting sqref="B50:K50">
    <cfRule type="cellIs" priority="1" operator="equal" dxfId="0">
      <formula>"GREEN"</formula>
    </cfRule>
    <cfRule type="cellIs" priority="2" operator="equal" dxfId="1">
      <formula>"AMBER"</formula>
    </cfRule>
    <cfRule type="cellIs" priority="3" operator="equal" dxfId="2">
      <formula>"RED"</formula>
    </cfRule>
  </conditionalFormatting>
  <dataValidations count="8">
    <dataValidation sqref="B8:B9" showDropDown="0" showInputMessage="0" showErrorMessage="0" allowBlank="0" errorTitle="Invalid scenario input" error="Enter a percentage as a decimal, e.g. 0.10 for +10%." promptTitle="Scenario input" prompt="Enter a percentage as a decimal, e.g. 0.10 for +10%." type="decimal" operator="between">
      <formula1>-0.5</formula1>
      <formula2>1.0</formula2>
    </dataValidation>
    <dataValidation sqref="G8:G10" showDropDown="0" showInputMessage="0" showErrorMessage="0" allowBlank="0" errorTitle="Invalid scenario input" error="Enter a percentage as a decimal, e.g. -0.15 for -15%." promptTitle="Scenario input" prompt="Enter a percentage as a decimal, e.g. -0.15 for -15%." type="decimal" operator="between">
      <formula1>-0.5</formula1>
      <formula2>1.0</formula2>
    </dataValidation>
    <dataValidation sqref="B11:B13" showDropDown="0" showInputMessage="0" showErrorMessage="0" allowBlank="0" errorTitle="Invalid scenario input" error="Enter a percentage as a decimal." promptTitle="Scenario input" prompt="Enter a percentage as a decimal." type="decimal" operator="between">
      <formula1>-0.5</formula1>
      <formula2>1.0</formula2>
    </dataValidation>
    <dataValidation sqref="B10" showDropDown="0" showInputMessage="0" showErrorMessage="0" allowBlank="0" errorTitle="Invalid scenario input" error="Enter absolute annual NGN feed cost addition." promptTitle="Scenario input" prompt="Enter absolute annual NGN feed cost addition." type="whole" operator="greaterThanOrEqual">
      <formula1>0</formula1>
    </dataValidation>
    <dataValidation sqref="B14" showDropDown="0" showInputMessage="0" showErrorMessage="0" allowBlank="0" errorTitle="Invalid scenario input" error="Interest shock in basis points." promptTitle="Scenario input" prompt="Interest shock in basis points." type="whole" operator="between">
      <formula1>-500</formula1>
      <formula2>1000</formula2>
    </dataValidation>
    <dataValidation sqref="B15" showDropDown="0" showInputMessage="0" showErrorMessage="0" allowBlank="0" errorTitle="Invalid scenario input" error="Receivable days." promptTitle="Scenario input" prompt="Receivable days." type="whole" operator="between">
      <formula1>0</formula1>
      <formula2>180</formula2>
    </dataValidation>
    <dataValidation sqref="B16" showDropDown="0" showInputMessage="0" showErrorMessage="0" allowBlank="0" errorTitle="Invalid scenario input" error="Ramp delay can be 0, 1, or 2 years." promptTitle="Scenario input" prompt="Ramp delay can be 0, 1, or 2 years." type="whole" operator="between">
      <formula1>0</formula1>
      <formula2>2</formula2>
    </dataValidation>
    <dataValidation sqref="B17" showDropDown="0" showInputMessage="0" showErrorMessage="0" allowBlank="0" errorTitle="Invalid scenario input" error="Minimum DSCR covenant floor." promptTitle="Scenario input" prompt="Minimum DSCR covenant floor." type="decimal" operator="between">
      <formula1>1.0</formula1>
      <formula2>3.0</formula2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4" topLeftCell="A5" activePane="bottomLeft" state="frozen"/>
      <selection pane="bottomLeft" activeCell="A5" sqref="A5"/>
    </sheetView>
  </sheetViews>
  <sheetFormatPr baseColWidth="8" defaultRowHeight="15"/>
  <cols>
    <col width="10" customWidth="1" min="1" max="1"/>
    <col width="10" customWidth="1" min="2" max="2"/>
    <col width="62" customWidth="1" min="3" max="3"/>
    <col width="18" customWidth="1" min="4" max="5"/>
  </cols>
  <sheetData>
    <row r="1">
      <c r="A1" s="1" t="inlineStr">
        <is>
          <t>CAPEX APPENDIX - ORIGINAL ITEM BREAKDOWN</t>
        </is>
      </c>
    </row>
    <row r="2">
      <c r="A2" s="6" t="inlineStr">
        <is>
          <t>Recreated from the original CAPEX breakdown. Amounts are NGN.</t>
        </is>
      </c>
    </row>
    <row r="3">
      <c r="A3" s="31" t="inlineStr">
        <is>
          <t>Back to CAPEX Summary</t>
        </is>
      </c>
      <c r="B3" s="32" t="inlineStr">
        <is>
          <t>Asset-class summary links jump to the first relevant detailed line item.</t>
        </is>
      </c>
      <c r="C3" s="33" t="n"/>
      <c r="D3" s="33" t="n"/>
      <c r="E3" s="33" t="n"/>
    </row>
    <row r="4">
      <c r="A4" s="1" t="inlineStr">
        <is>
          <t>Phase</t>
        </is>
      </c>
      <c r="B4" s="1" t="inlineStr">
        <is>
          <t>Year</t>
        </is>
      </c>
      <c r="C4" s="1" t="inlineStr">
        <is>
          <t>Item</t>
        </is>
      </c>
      <c r="D4" s="1" t="inlineStr">
        <is>
          <t>Amount (NGN)</t>
        </is>
      </c>
      <c r="E4" s="1" t="inlineStr">
        <is>
          <t>Phase Total / Notes</t>
        </is>
      </c>
    </row>
    <row r="5">
      <c r="C5" t="inlineStr">
        <is>
          <t>Land - 120 acres</t>
        </is>
      </c>
      <c r="D5" s="9" t="n">
        <v>60000000</v>
      </c>
    </row>
    <row r="6">
      <c r="A6" s="2" t="inlineStr"/>
      <c r="B6" s="2" t="inlineStr"/>
      <c r="C6" s="2" t="inlineStr">
        <is>
          <t>Phase 1 Item</t>
        </is>
      </c>
      <c r="D6" s="2" t="inlineStr"/>
      <c r="E6" s="2" t="inlineStr"/>
    </row>
    <row r="7">
      <c r="A7" t="inlineStr">
        <is>
          <t>1</t>
        </is>
      </c>
      <c r="B7" t="inlineStr">
        <is>
          <t>1</t>
        </is>
      </c>
      <c r="C7" t="inlineStr">
        <is>
          <t>Security posts</t>
        </is>
      </c>
      <c r="D7" s="9" t="n">
        <v>4800000</v>
      </c>
    </row>
    <row r="8">
      <c r="A8" t="inlineStr">
        <is>
          <t>1</t>
        </is>
      </c>
      <c r="B8" t="inlineStr">
        <is>
          <t>1</t>
        </is>
      </c>
      <c r="C8" t="inlineStr">
        <is>
          <t>Storage container 40ft x 1</t>
        </is>
      </c>
      <c r="D8" s="9" t="n">
        <v>5000000</v>
      </c>
    </row>
    <row r="9">
      <c r="A9" t="inlineStr">
        <is>
          <t>1</t>
        </is>
      </c>
      <c r="B9" t="inlineStr">
        <is>
          <t>1</t>
        </is>
      </c>
      <c r="C9" t="inlineStr">
        <is>
          <t>Storage container 20ft x 2</t>
        </is>
      </c>
      <c r="D9" s="9" t="n">
        <v>5000000</v>
      </c>
    </row>
    <row r="10">
      <c r="A10" t="inlineStr">
        <is>
          <t>1</t>
        </is>
      </c>
      <c r="B10" t="inlineStr">
        <is>
          <t>1</t>
        </is>
      </c>
      <c r="C10" t="inlineStr">
        <is>
          <t>CCTV</t>
        </is>
      </c>
      <c r="D10" s="9" t="n">
        <v>3000000</v>
      </c>
    </row>
    <row r="11">
      <c r="A11" t="inlineStr">
        <is>
          <t>1</t>
        </is>
      </c>
      <c r="B11" t="inlineStr">
        <is>
          <t>1</t>
        </is>
      </c>
      <c r="C11" t="inlineStr">
        <is>
          <t>Diary Core wall fence, guardhouse &amp; gate</t>
        </is>
      </c>
      <c r="D11" s="9" t="n">
        <v>59908100</v>
      </c>
    </row>
    <row r="12">
      <c r="A12" t="inlineStr">
        <is>
          <t>1</t>
        </is>
      </c>
      <c r="B12" t="inlineStr">
        <is>
          <t>1</t>
        </is>
      </c>
      <c r="C12" t="inlineStr">
        <is>
          <t>Cow barn</t>
        </is>
      </c>
      <c r="D12" s="9" t="n">
        <v>35000000</v>
      </c>
    </row>
    <row r="13">
      <c r="A13" t="inlineStr">
        <is>
          <t>1</t>
        </is>
      </c>
      <c r="B13" t="inlineStr">
        <is>
          <t>1</t>
        </is>
      </c>
      <c r="C13" t="inlineStr">
        <is>
          <t>Silage bunker (30ft x 100ft x 24 ft)</t>
        </is>
      </c>
      <c r="D13" s="9" t="n">
        <v>12000000</v>
      </c>
    </row>
    <row r="14">
      <c r="A14" t="inlineStr">
        <is>
          <t>1</t>
        </is>
      </c>
      <c r="B14" t="inlineStr">
        <is>
          <t>1</t>
        </is>
      </c>
      <c r="C14" t="inlineStr">
        <is>
          <t>Utilities Infrastructure (boreholes, water storage, solar power)</t>
        </is>
      </c>
      <c r="D14" s="9" t="n">
        <v>23700000</v>
      </c>
    </row>
    <row r="15">
      <c r="A15" t="inlineStr">
        <is>
          <t>1</t>
        </is>
      </c>
      <c r="B15" t="inlineStr">
        <is>
          <t>1</t>
        </is>
      </c>
      <c r="C15" t="inlineStr">
        <is>
          <t>Tractor &amp; plough</t>
        </is>
      </c>
      <c r="D15" s="9" t="n">
        <v>35000000</v>
      </c>
    </row>
    <row r="16">
      <c r="A16" t="inlineStr">
        <is>
          <t>1</t>
        </is>
      </c>
      <c r="B16" t="inlineStr">
        <is>
          <t>1</t>
        </is>
      </c>
      <c r="C16" t="inlineStr">
        <is>
          <t>Silage maker</t>
        </is>
      </c>
      <c r="D16" s="9" t="n">
        <v>3500000</v>
      </c>
    </row>
    <row r="17">
      <c r="A17" t="inlineStr">
        <is>
          <t>1</t>
        </is>
      </c>
      <c r="B17" t="inlineStr">
        <is>
          <t>1</t>
        </is>
      </c>
      <c r="C17" t="inlineStr">
        <is>
          <t>Seeds: corn, king/napier grass, alfalfa, soy, sesame</t>
        </is>
      </c>
      <c r="D17" s="9" t="n">
        <v>5091900</v>
      </c>
    </row>
    <row r="18">
      <c r="A18" t="inlineStr">
        <is>
          <t>1</t>
        </is>
      </c>
      <c r="B18" t="inlineStr">
        <is>
          <t>1</t>
        </is>
      </c>
      <c r="C18" t="inlineStr">
        <is>
          <t>Livestock (80 cows + 4 Friesian bulls)</t>
        </is>
      </c>
      <c r="D18" s="9" t="n">
        <v>58000000</v>
      </c>
    </row>
    <row r="19">
      <c r="A19" t="inlineStr">
        <is>
          <t>1</t>
        </is>
      </c>
      <c r="B19" t="inlineStr">
        <is>
          <t>1</t>
        </is>
      </c>
      <c r="C19" t="inlineStr">
        <is>
          <t>Contingencies 10%</t>
        </is>
      </c>
      <c r="D19" s="9" t="n">
        <v>25000000</v>
      </c>
      <c r="E19" s="9" t="n">
        <v>275000000</v>
      </c>
    </row>
    <row r="20">
      <c r="A20" s="2" t="inlineStr"/>
      <c r="B20" s="2" t="inlineStr"/>
      <c r="C20" s="2" t="inlineStr">
        <is>
          <t>Total Phase 1 Funding</t>
        </is>
      </c>
      <c r="D20" s="9" t="n">
        <v>275000000</v>
      </c>
      <c r="E20" s="2" t="inlineStr"/>
    </row>
    <row r="21">
      <c r="A21" s="2" t="inlineStr"/>
      <c r="B21" s="2" t="inlineStr"/>
      <c r="C21" s="2" t="inlineStr">
        <is>
          <t>Phase 2 Item</t>
        </is>
      </c>
      <c r="D21" s="2" t="inlineStr"/>
      <c r="E21" s="2" t="inlineStr"/>
    </row>
    <row r="22">
      <c r="A22" t="inlineStr">
        <is>
          <t>2</t>
        </is>
      </c>
      <c r="B22" t="inlineStr">
        <is>
          <t>2</t>
        </is>
      </c>
      <c r="C22" t="inlineStr">
        <is>
          <t>Refrigerated bulk tank 5000 liters</t>
        </is>
      </c>
      <c r="D22" s="9" t="n">
        <v>25000000</v>
      </c>
    </row>
    <row r="23">
      <c r="A23" t="inlineStr">
        <is>
          <t>2</t>
        </is>
      </c>
      <c r="B23" t="inlineStr">
        <is>
          <t>2</t>
        </is>
      </c>
      <c r="C23" t="inlineStr">
        <is>
          <t>Refrigerated milk truck</t>
        </is>
      </c>
      <c r="D23" s="9" t="n">
        <v>30000000</v>
      </c>
      <c r="E23" s="9" t="n">
        <v>55000000</v>
      </c>
    </row>
    <row r="24">
      <c r="A24" t="inlineStr">
        <is>
          <t>2</t>
        </is>
      </c>
      <c r="B24" t="inlineStr">
        <is>
          <t>4</t>
        </is>
      </c>
      <c r="C24" t="inlineStr">
        <is>
          <t>Rotary milk parlor</t>
        </is>
      </c>
      <c r="D24" s="9" t="n">
        <v>120000000</v>
      </c>
    </row>
    <row r="25">
      <c r="A25" t="inlineStr">
        <is>
          <t>2</t>
        </is>
      </c>
      <c r="B25" t="inlineStr">
        <is>
          <t>4</t>
        </is>
      </c>
      <c r="C25" t="inlineStr">
        <is>
          <t>Vet/Reprod/AI barn</t>
        </is>
      </c>
      <c r="D25" s="9" t="n">
        <v>25000000</v>
      </c>
      <c r="E25" s="9" t="n">
        <v>145000000</v>
      </c>
    </row>
    <row r="26">
      <c r="A26" t="inlineStr">
        <is>
          <t>2</t>
        </is>
      </c>
      <c r="B26" t="inlineStr">
        <is>
          <t>5</t>
        </is>
      </c>
      <c r="C26" t="inlineStr">
        <is>
          <t>Chain link &amp; Elect fence 120 acre 1</t>
        </is>
      </c>
      <c r="D26" s="9" t="n">
        <v>65000000</v>
      </c>
    </row>
    <row r="27">
      <c r="A27" t="inlineStr">
        <is>
          <t>2</t>
        </is>
      </c>
      <c r="B27" t="inlineStr">
        <is>
          <t>5</t>
        </is>
      </c>
      <c r="C27" t="inlineStr">
        <is>
          <t>Calf barn</t>
        </is>
      </c>
      <c r="D27" s="9" t="n">
        <v>30000000</v>
      </c>
    </row>
    <row r="28">
      <c r="A28" t="inlineStr">
        <is>
          <t>2</t>
        </is>
      </c>
      <c r="B28" t="inlineStr">
        <is>
          <t>5</t>
        </is>
      </c>
      <c r="C28" t="inlineStr">
        <is>
          <t>Heifer &amp; Young barn</t>
        </is>
      </c>
      <c r="D28" s="9" t="n">
        <v>35000000</v>
      </c>
    </row>
    <row r="29">
      <c r="A29" t="inlineStr">
        <is>
          <t>2</t>
        </is>
      </c>
      <c r="B29" t="inlineStr">
        <is>
          <t>5</t>
        </is>
      </c>
      <c r="C29" t="inlineStr">
        <is>
          <t>Cow barn</t>
        </is>
      </c>
      <c r="D29" s="9" t="n">
        <v>30000000</v>
      </c>
    </row>
    <row r="30">
      <c r="A30" t="inlineStr">
        <is>
          <t>2</t>
        </is>
      </c>
      <c r="B30" t="inlineStr">
        <is>
          <t>5</t>
        </is>
      </c>
      <c r="C30" t="inlineStr">
        <is>
          <t>Silos/Storage containers 40ft x 12</t>
        </is>
      </c>
      <c r="D30" s="9" t="n">
        <v>60000000</v>
      </c>
    </row>
    <row r="31">
      <c r="A31" t="inlineStr">
        <is>
          <t>2</t>
        </is>
      </c>
      <c r="B31" t="inlineStr">
        <is>
          <t>5</t>
        </is>
      </c>
      <c r="C31" t="inlineStr">
        <is>
          <t>Slaughter</t>
        </is>
      </c>
      <c r="D31" s="9" t="n">
        <v>2000000</v>
      </c>
    </row>
    <row r="32">
      <c r="A32" t="inlineStr">
        <is>
          <t>2</t>
        </is>
      </c>
      <c r="B32" t="inlineStr">
        <is>
          <t>5</t>
        </is>
      </c>
      <c r="C32" t="inlineStr">
        <is>
          <t>Refrigerated 20ft container x 2</t>
        </is>
      </c>
      <c r="D32" s="9" t="n">
        <v>24000000</v>
      </c>
    </row>
    <row r="33">
      <c r="A33" t="inlineStr">
        <is>
          <t>2</t>
        </is>
      </c>
      <c r="B33" t="inlineStr">
        <is>
          <t>5</t>
        </is>
      </c>
      <c r="C33" t="inlineStr">
        <is>
          <t>Biodigester</t>
        </is>
      </c>
      <c r="D33" s="9" t="n">
        <v>20000000</v>
      </c>
    </row>
    <row r="34">
      <c r="A34" t="inlineStr">
        <is>
          <t>2</t>
        </is>
      </c>
      <c r="B34" t="inlineStr">
        <is>
          <t>5</t>
        </is>
      </c>
      <c r="C34" t="inlineStr">
        <is>
          <t>Manure lagoon</t>
        </is>
      </c>
      <c r="D34" s="9" t="n">
        <v>35000000</v>
      </c>
    </row>
    <row r="35">
      <c r="A35" t="inlineStr">
        <is>
          <t>2</t>
        </is>
      </c>
      <c r="B35" t="inlineStr">
        <is>
          <t>5</t>
        </is>
      </c>
      <c r="C35" t="inlineStr">
        <is>
          <t>Manure truck</t>
        </is>
      </c>
      <c r="D35" s="9" t="n">
        <v>30000000</v>
      </c>
    </row>
    <row r="36">
      <c r="A36" t="inlineStr">
        <is>
          <t>2</t>
        </is>
      </c>
      <c r="B36" t="inlineStr">
        <is>
          <t>5</t>
        </is>
      </c>
      <c r="C36" t="inlineStr">
        <is>
          <t>Operations vehicle 4x4</t>
        </is>
      </c>
      <c r="D36" s="9" t="n">
        <v>35000000</v>
      </c>
    </row>
    <row r="37">
      <c r="A37" t="inlineStr">
        <is>
          <t>2</t>
        </is>
      </c>
      <c r="B37" t="inlineStr">
        <is>
          <t>5</t>
        </is>
      </c>
      <c r="C37" t="inlineStr">
        <is>
          <t>100kva biogas generator</t>
        </is>
      </c>
      <c r="D37" s="9" t="n">
        <v>30000000</v>
      </c>
    </row>
    <row r="38">
      <c r="A38" t="inlineStr">
        <is>
          <t>2</t>
        </is>
      </c>
      <c r="B38" t="inlineStr">
        <is>
          <t>5</t>
        </is>
      </c>
      <c r="C38" t="inlineStr">
        <is>
          <t>100kva diesel generator</t>
        </is>
      </c>
      <c r="D38" s="9" t="n">
        <v>10000000</v>
      </c>
    </row>
    <row r="39">
      <c r="A39" t="inlineStr">
        <is>
          <t>2</t>
        </is>
      </c>
      <c r="B39" t="inlineStr">
        <is>
          <t>5</t>
        </is>
      </c>
      <c r="C39" t="inlineStr">
        <is>
          <t>Herd management system</t>
        </is>
      </c>
      <c r="D39" s="9" t="n">
        <v>20000000</v>
      </c>
      <c r="E39" s="9" t="n">
        <v>426000000</v>
      </c>
    </row>
    <row r="40">
      <c r="A40" t="inlineStr">
        <is>
          <t>2</t>
        </is>
      </c>
      <c r="B40" t="inlineStr">
        <is>
          <t>6</t>
        </is>
      </c>
      <c r="C40" t="inlineStr">
        <is>
          <t>Chain link &amp; Elect fence 120 acre 2</t>
        </is>
      </c>
      <c r="D40" s="9" t="n">
        <v>55000000</v>
      </c>
    </row>
    <row r="41">
      <c r="A41" t="inlineStr">
        <is>
          <t>2</t>
        </is>
      </c>
      <c r="B41" t="inlineStr">
        <is>
          <t>6</t>
        </is>
      </c>
      <c r="C41" t="inlineStr">
        <is>
          <t>Milk processing line</t>
        </is>
      </c>
      <c r="D41" s="9" t="n">
        <v>450000000</v>
      </c>
    </row>
    <row r="42">
      <c r="A42" t="inlineStr">
        <is>
          <t>2</t>
        </is>
      </c>
      <c r="B42" t="inlineStr">
        <is>
          <t>6</t>
        </is>
      </c>
      <c r="C42" t="inlineStr">
        <is>
          <t>150kva solar system</t>
        </is>
      </c>
      <c r="D42" s="9" t="n">
        <v>200000000</v>
      </c>
    </row>
    <row r="43">
      <c r="A43" t="inlineStr">
        <is>
          <t>2</t>
        </is>
      </c>
      <c r="B43" t="inlineStr">
        <is>
          <t>6</t>
        </is>
      </c>
      <c r="C43" t="inlineStr">
        <is>
          <t>Operations vehicle 4x4</t>
        </is>
      </c>
      <c r="D43" s="9" t="n">
        <v>35000000</v>
      </c>
    </row>
    <row r="44">
      <c r="A44" t="inlineStr">
        <is>
          <t>2</t>
        </is>
      </c>
      <c r="B44" t="inlineStr">
        <is>
          <t>6</t>
        </is>
      </c>
      <c r="C44" t="inlineStr">
        <is>
          <t>Deliveries truck</t>
        </is>
      </c>
      <c r="D44" s="9" t="n">
        <v>30000000</v>
      </c>
    </row>
    <row r="45">
      <c r="A45" t="inlineStr">
        <is>
          <t>3</t>
        </is>
      </c>
      <c r="B45" t="inlineStr">
        <is>
          <t>6</t>
        </is>
      </c>
      <c r="C45" t="inlineStr">
        <is>
          <t>100 acre land purchase</t>
        </is>
      </c>
      <c r="D45" s="9" t="n">
        <v>50000000</v>
      </c>
    </row>
    <row r="46">
      <c r="A46" t="inlineStr">
        <is>
          <t>3</t>
        </is>
      </c>
      <c r="B46" t="inlineStr">
        <is>
          <t>6</t>
        </is>
      </c>
      <c r="C46" t="inlineStr">
        <is>
          <t>Chain link &amp; Elect fence 100 acre</t>
        </is>
      </c>
      <c r="D46" s="9" t="n">
        <v>60000000</v>
      </c>
    </row>
    <row r="47">
      <c r="A47" t="inlineStr">
        <is>
          <t>2</t>
        </is>
      </c>
      <c r="B47" t="inlineStr">
        <is>
          <t>6</t>
        </is>
      </c>
      <c r="C47" t="inlineStr">
        <is>
          <t>Contingency</t>
        </is>
      </c>
      <c r="D47" s="9" t="n">
        <v>194329190</v>
      </c>
      <c r="E47" s="9" t="n">
        <v>1074329190</v>
      </c>
    </row>
    <row r="48">
      <c r="A48" s="2" t="inlineStr"/>
      <c r="B48" s="2" t="inlineStr"/>
      <c r="C48" s="2" t="inlineStr">
        <is>
          <t>Total Phase 2 Funding</t>
        </is>
      </c>
      <c r="D48" s="9" t="n">
        <v>1700329190</v>
      </c>
      <c r="E48" s="2" t="inlineStr"/>
    </row>
    <row r="49">
      <c r="A49" s="2" t="inlineStr"/>
      <c r="B49" s="2" t="inlineStr"/>
      <c r="C49" s="2" t="inlineStr">
        <is>
          <t>Phase 3 Item</t>
        </is>
      </c>
      <c r="D49" s="2" t="inlineStr"/>
      <c r="E49" s="2" t="inlineStr"/>
    </row>
    <row r="50">
      <c r="A50" t="inlineStr">
        <is>
          <t>3</t>
        </is>
      </c>
      <c r="B50" t="inlineStr">
        <is>
          <t>7</t>
        </is>
      </c>
      <c r="C50" t="inlineStr">
        <is>
          <t>Replacement, upgrade &amp; automation</t>
        </is>
      </c>
      <c r="D50" s="9" t="n">
        <v>225000000</v>
      </c>
    </row>
    <row r="51">
      <c r="A51" t="inlineStr">
        <is>
          <t>3</t>
        </is>
      </c>
      <c r="B51" t="inlineStr">
        <is>
          <t>7</t>
        </is>
      </c>
      <c r="C51" t="inlineStr">
        <is>
          <t>Beef processing line</t>
        </is>
      </c>
      <c r="D51" s="9" t="n">
        <v>500000000</v>
      </c>
    </row>
    <row r="52">
      <c r="A52" t="inlineStr">
        <is>
          <t>3</t>
        </is>
      </c>
      <c r="B52" t="inlineStr">
        <is>
          <t>7</t>
        </is>
      </c>
      <c r="C52" t="inlineStr">
        <is>
          <t>Contingency</t>
        </is>
      </c>
      <c r="D52" s="9" t="n">
        <v>72500000</v>
      </c>
    </row>
    <row r="53">
      <c r="A53" s="2" t="inlineStr"/>
      <c r="B53" s="2" t="inlineStr"/>
      <c r="C53" s="2" t="inlineStr">
        <is>
          <t>Total Phase 3 Funding</t>
        </is>
      </c>
      <c r="D53" s="9" t="n">
        <v>797500000</v>
      </c>
      <c r="E53" s="9" t="n">
        <v>797500000</v>
      </c>
    </row>
    <row r="54">
      <c r="A54" s="2" t="inlineStr"/>
      <c r="B54" s="2" t="inlineStr"/>
      <c r="C54" s="2" t="inlineStr">
        <is>
          <t>Total Project Funding</t>
        </is>
      </c>
      <c r="D54" s="9" t="n">
        <v>2832829190</v>
      </c>
      <c r="E54" s="9" t="n">
        <v>2832829190</v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R96"/>
  <sheetViews>
    <sheetView workbookViewId="0">
      <pane ySplit="3" topLeftCell="A4" activePane="bottomLeft" state="frozen"/>
      <selection pane="bottomLeft" activeCell="A4" sqref="A4"/>
    </sheetView>
  </sheetViews>
  <sheetFormatPr baseColWidth="8" defaultRowHeight="15"/>
  <cols>
    <col width="18" customWidth="1" min="1" max="1"/>
    <col width="16" customWidth="1" min="2" max="3"/>
    <col width="13" customWidth="1" min="4" max="18"/>
  </cols>
  <sheetData>
    <row r="1">
      <c r="A1" s="1" t="inlineStr">
        <is>
          <t>OPEX APPENDIX - ORIGINAL HIDDEN DETAIL</t>
        </is>
      </c>
    </row>
    <row r="2">
      <c r="A2" s="6" t="inlineStr">
        <is>
          <t>Recreated from original OPEX rows hidden below row 16. Amounts are NGN unless stated otherwise.</t>
        </is>
      </c>
    </row>
    <row r="3">
      <c r="A3" s="31" t="inlineStr">
        <is>
          <t>Back to OPEX Summary</t>
        </is>
      </c>
      <c r="B3" s="32" t="inlineStr">
        <is>
          <t>Annual summary starts below; linked summary lines jump into the closest supporting detail block.</t>
        </is>
      </c>
      <c r="C3" s="33" t="n"/>
      <c r="D3" s="33" t="n"/>
      <c r="E3" s="33" t="n"/>
      <c r="F3" s="33" t="n"/>
    </row>
    <row r="4">
      <c r="A4" s="1" t="inlineStr">
        <is>
          <t>Year</t>
        </is>
      </c>
      <c r="B4" s="1" t="inlineStr">
        <is>
          <t>Feed Cost</t>
        </is>
      </c>
      <c r="C4" s="1" t="inlineStr">
        <is>
          <t>Vet Cost</t>
        </is>
      </c>
      <c r="D4" s="1" t="inlineStr">
        <is>
          <t>Payroll</t>
        </is>
      </c>
      <c r="E4" s="1" t="inlineStr">
        <is>
          <t>Utilities</t>
        </is>
      </c>
      <c r="F4" s="1" t="inlineStr">
        <is>
          <t>Fuel</t>
        </is>
      </c>
      <c r="G4" s="1" t="inlineStr">
        <is>
          <t>Admin</t>
        </is>
      </c>
      <c r="H4" s="1" t="inlineStr">
        <is>
          <t>Security</t>
        </is>
      </c>
      <c r="I4" s="1" t="inlineStr">
        <is>
          <t>Repairs</t>
        </is>
      </c>
      <c r="J4" s="1" t="inlineStr">
        <is>
          <t>Insurance</t>
        </is>
      </c>
      <c r="K4" s="1" t="inlineStr">
        <is>
          <t>Miscelaneous</t>
        </is>
      </c>
      <c r="L4" s="1" t="inlineStr">
        <is>
          <t>Totel OPEX</t>
        </is>
      </c>
      <c r="M4" s="1" t="n"/>
      <c r="N4" s="1" t="n"/>
      <c r="O4" s="1" t="n"/>
      <c r="P4" s="1" t="n"/>
      <c r="Q4" s="1" t="n"/>
      <c r="R4" s="1" t="n"/>
    </row>
    <row r="5">
      <c r="A5" t="n">
        <v>1</v>
      </c>
      <c r="B5" s="9" t="n">
        <v>2304000</v>
      </c>
      <c r="C5" s="9" t="n">
        <v>1250000</v>
      </c>
      <c r="D5" s="9" t="n">
        <v>7015000</v>
      </c>
      <c r="E5" s="9" t="n">
        <v>4320000</v>
      </c>
      <c r="F5" s="9" t="n">
        <v>2640000</v>
      </c>
      <c r="G5" s="9" t="n">
        <v>120000</v>
      </c>
      <c r="H5" s="9" t="n">
        <v>2910000</v>
      </c>
      <c r="I5" s="9" t="n">
        <v>100000</v>
      </c>
      <c r="J5" s="9" t="n">
        <v>1000000</v>
      </c>
      <c r="K5" s="9" t="n">
        <v>1000000</v>
      </c>
      <c r="L5" s="9" t="n">
        <v>22659000</v>
      </c>
    </row>
    <row r="6">
      <c r="A6" t="n">
        <v>2</v>
      </c>
      <c r="B6" s="9" t="n">
        <v>3456000</v>
      </c>
      <c r="C6" s="9" t="n">
        <v>2200000</v>
      </c>
      <c r="D6" s="9" t="n">
        <v>10935000</v>
      </c>
      <c r="E6" s="9" t="n">
        <v>4536000</v>
      </c>
      <c r="F6" s="9" t="n">
        <v>3036000</v>
      </c>
      <c r="G6" s="9" t="n">
        <v>126000</v>
      </c>
      <c r="H6" s="9" t="n">
        <v>3055500</v>
      </c>
      <c r="I6" s="9" t="n">
        <v>2337500</v>
      </c>
      <c r="J6" s="9" t="n">
        <v>1009500</v>
      </c>
      <c r="K6" s="9" t="n">
        <v>1009500</v>
      </c>
      <c r="L6" s="9" t="n">
        <v>29682000</v>
      </c>
      <c r="M6" s="9" t="n">
        <v>52341000</v>
      </c>
    </row>
    <row r="7">
      <c r="A7" t="n">
        <v>3</v>
      </c>
      <c r="B7" s="9" t="n">
        <v>4706000</v>
      </c>
      <c r="C7" s="9" t="n">
        <v>2750000</v>
      </c>
      <c r="D7" s="9" t="n">
        <v>12575250</v>
      </c>
      <c r="E7" s="9" t="n">
        <v>4989600</v>
      </c>
      <c r="F7" s="9" t="n">
        <v>3339600</v>
      </c>
      <c r="G7" s="9" t="n">
        <v>138600</v>
      </c>
      <c r="H7" s="9" t="n">
        <v>3361050</v>
      </c>
      <c r="I7" s="9" t="n">
        <v>2358750</v>
      </c>
      <c r="J7" s="9" t="n">
        <v>1019090.25</v>
      </c>
      <c r="K7" s="9" t="n">
        <v>1019090.25</v>
      </c>
      <c r="L7" s="9" t="n">
        <v>34218850</v>
      </c>
    </row>
    <row r="8">
      <c r="A8" t="n">
        <v>4</v>
      </c>
      <c r="B8" s="9" t="n">
        <v>5956000</v>
      </c>
      <c r="C8" s="9" t="n">
        <v>3687500</v>
      </c>
      <c r="D8" s="9" t="n">
        <v>13864213.125</v>
      </c>
      <c r="E8" s="9" t="n">
        <v>6237000</v>
      </c>
      <c r="F8" s="9" t="n">
        <v>3423089.999999999</v>
      </c>
      <c r="G8" s="9" t="n">
        <v>142065</v>
      </c>
      <c r="H8" s="9" t="n">
        <v>3445076.25</v>
      </c>
      <c r="I8" s="9" t="n">
        <v>2550000</v>
      </c>
      <c r="J8" s="9" t="n">
        <v>1028771.607375</v>
      </c>
      <c r="K8" s="9" t="n">
        <v>1028771.607375</v>
      </c>
      <c r="L8" s="9" t="n">
        <v>39304944.375</v>
      </c>
    </row>
    <row r="9">
      <c r="A9" t="n">
        <v>5</v>
      </c>
      <c r="B9" s="9" t="n">
        <v>7456000</v>
      </c>
      <c r="C9" s="9" t="n">
        <v>4875000</v>
      </c>
      <c r="D9" s="9" t="n">
        <v>15285294.9703125</v>
      </c>
      <c r="E9" s="9" t="n">
        <v>7796250</v>
      </c>
      <c r="F9" s="9" t="n">
        <v>3508667.249999999</v>
      </c>
      <c r="G9" s="9" t="n">
        <v>145616.625</v>
      </c>
      <c r="H9" s="9" t="n">
        <v>3531203.15625</v>
      </c>
      <c r="I9" s="9" t="n">
        <v>4037500</v>
      </c>
      <c r="J9" s="9" t="n">
        <v>1038544.937645063</v>
      </c>
      <c r="K9" s="9" t="n">
        <v>1038544.937645063</v>
      </c>
      <c r="L9" s="9" t="n">
        <v>46635532.0015625</v>
      </c>
    </row>
    <row r="10">
      <c r="A10" t="n">
        <v>6</v>
      </c>
      <c r="B10" s="9" t="n">
        <v>8956000</v>
      </c>
      <c r="C10" s="9" t="n">
        <v>7595312.5</v>
      </c>
      <c r="D10" s="9" t="n">
        <v>17043103.89189843</v>
      </c>
      <c r="E10" s="9" t="n">
        <v>7991156.249999999</v>
      </c>
      <c r="F10" s="9" t="n">
        <v>3596383.931249998</v>
      </c>
      <c r="G10" s="9" t="n">
        <v>149257.040625</v>
      </c>
      <c r="H10" s="9" t="n">
        <v>3619483.235156249</v>
      </c>
      <c r="I10" s="9" t="n">
        <v>2125000</v>
      </c>
      <c r="J10" s="9" t="n">
        <v>1048411.114552691</v>
      </c>
      <c r="K10" s="9" t="n">
        <v>1048411.114552691</v>
      </c>
      <c r="L10" s="9" t="n">
        <v>51075696.84892969</v>
      </c>
    </row>
    <row r="11">
      <c r="A11" t="n">
        <v>7</v>
      </c>
      <c r="B11" s="9" t="n">
        <v>10456000</v>
      </c>
      <c r="C11" s="9" t="n">
        <v>9390585.9375</v>
      </c>
      <c r="D11" s="9" t="n">
        <v>17469181.48919589</v>
      </c>
      <c r="E11" s="9" t="n">
        <v>8190935.156249998</v>
      </c>
      <c r="F11" s="9" t="n">
        <v>3686293.529531247</v>
      </c>
      <c r="G11" s="9" t="n">
        <v>152988.466640625</v>
      </c>
      <c r="H11" s="9" t="n">
        <v>3709970.316035155</v>
      </c>
      <c r="I11" s="9" t="n">
        <v>2337500</v>
      </c>
      <c r="J11" s="9" t="n">
        <v>1058371.020140942</v>
      </c>
      <c r="K11" s="9" t="n">
        <v>1058371.020140942</v>
      </c>
      <c r="L11" s="9" t="n">
        <v>55393454.89515293</v>
      </c>
    </row>
    <row r="12">
      <c r="A12" t="n">
        <v>8</v>
      </c>
      <c r="B12" s="9" t="n">
        <v>10456000</v>
      </c>
      <c r="C12" s="9" t="n">
        <v>9382364.257812502</v>
      </c>
      <c r="D12" s="9" t="n">
        <v>17905911.02642579</v>
      </c>
      <c r="E12" s="9" t="n">
        <v>8395708.535156248</v>
      </c>
      <c r="F12" s="9" t="n">
        <v>3778450.867769528</v>
      </c>
      <c r="G12" s="9" t="n">
        <v>156813.1783066406</v>
      </c>
      <c r="H12" s="9" t="n">
        <v>3802719.573936034</v>
      </c>
      <c r="I12" s="9" t="n">
        <v>2358750</v>
      </c>
      <c r="J12" s="9" t="n">
        <v>1068425.544832281</v>
      </c>
      <c r="K12" s="9" t="n">
        <v>1068425.544832281</v>
      </c>
      <c r="L12" s="9" t="n">
        <v>56236717.43940674</v>
      </c>
    </row>
    <row r="13">
      <c r="A13" t="n">
        <v>9</v>
      </c>
      <c r="B13" s="9" t="n">
        <v>10456000</v>
      </c>
      <c r="C13" s="9" t="n">
        <v>9374142.578125002</v>
      </c>
      <c r="D13" s="9" t="n">
        <v>18353558.80208643</v>
      </c>
      <c r="E13" s="9" t="n">
        <v>8605601.248535154</v>
      </c>
      <c r="F13" s="9" t="n">
        <v>3872912.139463766</v>
      </c>
      <c r="G13" s="9" t="n">
        <v>160733.5077643066</v>
      </c>
      <c r="H13" s="9" t="n">
        <v>3897787.563284434</v>
      </c>
      <c r="I13" s="9" t="n">
        <v>4143750</v>
      </c>
      <c r="J13" s="9" t="n">
        <v>1078575.587508188</v>
      </c>
      <c r="K13" s="9" t="n">
        <v>1078575.587508188</v>
      </c>
      <c r="L13" s="9" t="n">
        <v>58864485.8392591</v>
      </c>
    </row>
    <row r="14">
      <c r="A14" t="n">
        <v>10</v>
      </c>
      <c r="B14" s="9" t="n">
        <v>10456000</v>
      </c>
      <c r="C14" s="9" t="n">
        <v>9377640.600585938</v>
      </c>
      <c r="D14" s="9" t="n">
        <v>18812397.77213859</v>
      </c>
      <c r="E14" s="9" t="n">
        <v>8820741.279748533</v>
      </c>
      <c r="F14" s="9" t="n">
        <v>3969734.94295036</v>
      </c>
      <c r="G14" s="9" t="n">
        <v>164751.8454584142</v>
      </c>
      <c r="H14" s="9" t="n">
        <v>3995232.252366544</v>
      </c>
      <c r="I14" s="9" t="n">
        <v>2337500</v>
      </c>
      <c r="J14" s="9" t="n">
        <v>1088822.055589515</v>
      </c>
      <c r="K14" s="9" t="n">
        <v>1088822.055589515</v>
      </c>
      <c r="L14" s="9" t="n">
        <v>57933998.69324838</v>
      </c>
    </row>
    <row r="15">
      <c r="B15" t="inlineStr">
        <is>
          <t>year 1 opex</t>
        </is>
      </c>
      <c r="C15" s="9" t="n">
        <v>22659000</v>
      </c>
    </row>
    <row r="16">
      <c r="B16" t="inlineStr">
        <is>
          <t>year 2 opex</t>
        </is>
      </c>
      <c r="C16" s="9" t="n">
        <v>29682000</v>
      </c>
    </row>
    <row r="17">
      <c r="A17" s="1" t="inlineStr">
        <is>
          <t>Year 1</t>
        </is>
      </c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</row>
    <row r="18">
      <c r="A18" s="1" t="inlineStr">
        <is>
          <t>Month</t>
        </is>
      </c>
      <c r="B18" s="1" t="inlineStr">
        <is>
          <t>Feed Cost</t>
        </is>
      </c>
      <c r="C18" s="1" t="inlineStr">
        <is>
          <t>Vet Cost</t>
        </is>
      </c>
      <c r="D18" s="1" t="inlineStr">
        <is>
          <t>Payroll</t>
        </is>
      </c>
      <c r="E18" s="1" t="inlineStr">
        <is>
          <t>Utilities</t>
        </is>
      </c>
      <c r="F18" s="1" t="inlineStr">
        <is>
          <t>Fuel</t>
        </is>
      </c>
      <c r="G18" s="1" t="inlineStr">
        <is>
          <t>Admin</t>
        </is>
      </c>
      <c r="H18" s="1" t="inlineStr">
        <is>
          <t>Security</t>
        </is>
      </c>
      <c r="I18" s="1" t="inlineStr">
        <is>
          <t>Repairs</t>
        </is>
      </c>
      <c r="J18" s="1" t="n"/>
      <c r="K18" s="1" t="n"/>
      <c r="L18" s="1" t="inlineStr">
        <is>
          <t>Totel OPEX</t>
        </is>
      </c>
      <c r="M18" s="1" t="n"/>
      <c r="N18" s="1" t="n"/>
      <c r="O18" s="1" t="n"/>
      <c r="P18" s="1" t="n"/>
      <c r="Q18" s="1" t="n"/>
      <c r="R18" s="1" t="n"/>
    </row>
    <row r="19">
      <c r="A19" t="n">
        <v>1</v>
      </c>
      <c r="B19" s="9" t="n">
        <v>0</v>
      </c>
      <c r="C19" s="9" t="n">
        <v>0</v>
      </c>
      <c r="D19" s="9" t="n">
        <v>0</v>
      </c>
      <c r="E19" s="9" t="n">
        <v>360000</v>
      </c>
      <c r="F19" s="9" t="n">
        <v>0</v>
      </c>
      <c r="G19" s="9" t="n">
        <v>10000</v>
      </c>
      <c r="I19" s="9" t="n">
        <v>0</v>
      </c>
      <c r="L19" s="9" t="n">
        <v>370000</v>
      </c>
    </row>
    <row r="20">
      <c r="A20" t="n">
        <v>2</v>
      </c>
      <c r="B20" s="9" t="n">
        <v>0</v>
      </c>
      <c r="C20" s="9" t="n">
        <v>0</v>
      </c>
      <c r="D20" s="9" t="n">
        <v>475000</v>
      </c>
      <c r="E20" s="9" t="n">
        <v>360000</v>
      </c>
      <c r="F20" s="9" t="n">
        <v>0</v>
      </c>
      <c r="G20" s="9" t="n">
        <v>10000</v>
      </c>
      <c r="I20" s="9" t="n">
        <v>0</v>
      </c>
      <c r="L20" s="9" t="n">
        <v>845000</v>
      </c>
    </row>
    <row r="21">
      <c r="A21" t="n">
        <v>3</v>
      </c>
      <c r="B21" s="9" t="n">
        <v>0</v>
      </c>
      <c r="C21" s="9" t="n">
        <v>0</v>
      </c>
      <c r="D21" s="9" t="n">
        <v>475000</v>
      </c>
      <c r="E21" s="9" t="n">
        <v>360000</v>
      </c>
      <c r="F21" s="9" t="n">
        <v>0</v>
      </c>
      <c r="G21" s="9" t="n">
        <v>10000</v>
      </c>
      <c r="I21" s="9" t="n">
        <v>0</v>
      </c>
      <c r="L21" s="9" t="n">
        <v>845000</v>
      </c>
    </row>
    <row r="22">
      <c r="A22" t="n">
        <v>4</v>
      </c>
      <c r="B22" s="9" t="n">
        <v>2304000</v>
      </c>
      <c r="C22" s="9" t="n">
        <v>0</v>
      </c>
      <c r="D22" s="9" t="n">
        <v>475000</v>
      </c>
      <c r="E22" s="9" t="n">
        <v>360000</v>
      </c>
      <c r="F22" s="9" t="n">
        <v>0</v>
      </c>
      <c r="G22" s="9" t="n">
        <v>10000</v>
      </c>
      <c r="I22" s="9" t="n">
        <v>0</v>
      </c>
      <c r="L22" s="9" t="n">
        <v>3149000</v>
      </c>
    </row>
    <row r="23">
      <c r="A23" t="n">
        <v>5</v>
      </c>
      <c r="B23" s="9" t="n">
        <v>0</v>
      </c>
      <c r="C23" s="9" t="n">
        <v>0</v>
      </c>
      <c r="D23" s="9" t="n">
        <v>475000</v>
      </c>
      <c r="E23" s="9" t="n">
        <v>360000</v>
      </c>
      <c r="F23" s="9" t="n">
        <v>0</v>
      </c>
      <c r="G23" s="9" t="n">
        <v>10000</v>
      </c>
      <c r="I23" s="9" t="n">
        <v>0</v>
      </c>
      <c r="L23" s="9" t="n">
        <v>845000</v>
      </c>
    </row>
    <row r="24">
      <c r="A24" t="n">
        <v>6</v>
      </c>
      <c r="B24" s="9" t="n">
        <v>0</v>
      </c>
      <c r="C24" s="9" t="n">
        <v>100000</v>
      </c>
      <c r="D24" s="9" t="n">
        <v>615000</v>
      </c>
      <c r="E24" s="9" t="n">
        <v>360000</v>
      </c>
      <c r="F24" s="9" t="n">
        <v>0</v>
      </c>
      <c r="G24" s="9" t="n">
        <v>10000</v>
      </c>
      <c r="I24" s="9" t="n">
        <v>0</v>
      </c>
      <c r="L24" s="9" t="n">
        <v>1085000</v>
      </c>
    </row>
    <row r="25">
      <c r="A25" t="n">
        <v>7</v>
      </c>
      <c r="B25" s="9" t="n">
        <v>0</v>
      </c>
      <c r="C25" s="9" t="n">
        <v>175000</v>
      </c>
      <c r="D25" s="9" t="n">
        <v>715000</v>
      </c>
      <c r="E25" s="9" t="n">
        <v>360000</v>
      </c>
      <c r="F25" s="9" t="n">
        <v>0</v>
      </c>
      <c r="G25" s="9" t="n">
        <v>10000</v>
      </c>
      <c r="I25" s="9" t="n">
        <v>16666.66666666667</v>
      </c>
      <c r="L25" s="9" t="n">
        <v>1276666.666666667</v>
      </c>
    </row>
    <row r="26">
      <c r="A26" t="n">
        <v>8</v>
      </c>
      <c r="B26" s="9" t="n">
        <v>0</v>
      </c>
      <c r="C26" s="9" t="n">
        <v>175000</v>
      </c>
      <c r="D26" s="9" t="n">
        <v>715000</v>
      </c>
      <c r="E26" s="9" t="n">
        <v>360000</v>
      </c>
      <c r="F26" s="9" t="n">
        <v>0</v>
      </c>
      <c r="G26" s="9" t="n">
        <v>10000</v>
      </c>
      <c r="I26" s="9" t="n">
        <v>16666.66666666667</v>
      </c>
      <c r="L26" s="9" t="n">
        <v>1276666.666666667</v>
      </c>
    </row>
    <row r="27">
      <c r="A27" t="n">
        <v>9</v>
      </c>
      <c r="B27" s="9" t="n">
        <v>0</v>
      </c>
      <c r="C27" s="9" t="n">
        <v>175000</v>
      </c>
      <c r="D27" s="9" t="n">
        <v>715000</v>
      </c>
      <c r="E27" s="9" t="n">
        <v>360000</v>
      </c>
      <c r="F27" s="9" t="n">
        <v>0</v>
      </c>
      <c r="G27" s="9" t="n">
        <v>10000</v>
      </c>
      <c r="I27" s="9" t="n">
        <v>16666.66666666667</v>
      </c>
      <c r="L27" s="9" t="n">
        <v>1276666.666666667</v>
      </c>
    </row>
    <row r="28">
      <c r="A28" t="n">
        <v>10</v>
      </c>
      <c r="B28" s="9" t="n">
        <v>0</v>
      </c>
      <c r="C28" s="9" t="n">
        <v>175000</v>
      </c>
      <c r="D28" s="9" t="n">
        <v>785000</v>
      </c>
      <c r="E28" s="9" t="n">
        <v>360000</v>
      </c>
      <c r="F28" s="9" t="n">
        <v>0</v>
      </c>
      <c r="G28" s="9" t="n">
        <v>10000</v>
      </c>
      <c r="I28" s="9" t="n">
        <v>16666.66666666667</v>
      </c>
      <c r="L28" s="9" t="n">
        <v>1346666.666666667</v>
      </c>
    </row>
    <row r="29">
      <c r="A29" t="n">
        <v>11</v>
      </c>
      <c r="B29" s="9" t="n">
        <v>0</v>
      </c>
      <c r="C29" s="9" t="n">
        <v>175000</v>
      </c>
      <c r="D29" s="9" t="n">
        <v>785000</v>
      </c>
      <c r="E29" s="9" t="n">
        <v>360000</v>
      </c>
      <c r="F29" s="9" t="n">
        <v>0</v>
      </c>
      <c r="G29" s="9" t="n">
        <v>10000</v>
      </c>
      <c r="I29" s="9" t="n">
        <v>16666.66666666667</v>
      </c>
      <c r="L29" s="9" t="n">
        <v>1346666.666666667</v>
      </c>
    </row>
    <row r="30">
      <c r="A30" t="n">
        <v>12</v>
      </c>
      <c r="B30" s="9" t="n">
        <v>0</v>
      </c>
      <c r="C30" s="9" t="n">
        <v>275000</v>
      </c>
      <c r="D30" s="9" t="n">
        <v>785000</v>
      </c>
      <c r="E30" s="9" t="n">
        <v>360000</v>
      </c>
      <c r="F30" s="9" t="n">
        <v>0</v>
      </c>
      <c r="G30" s="9" t="n">
        <v>10000</v>
      </c>
      <c r="I30" s="9" t="n">
        <v>16666.66666666667</v>
      </c>
      <c r="L30" s="9" t="n">
        <v>1446666.666666667</v>
      </c>
    </row>
    <row r="31">
      <c r="B31" s="9" t="n">
        <v>2304000</v>
      </c>
      <c r="C31" s="9" t="n">
        <v>1250000</v>
      </c>
      <c r="D31" s="9" t="n">
        <v>7015000</v>
      </c>
      <c r="E31" s="9" t="n">
        <v>4320000</v>
      </c>
      <c r="F31" s="9" t="n">
        <v>0</v>
      </c>
      <c r="G31" s="9" t="n">
        <v>120000</v>
      </c>
      <c r="I31" s="9" t="n">
        <v>100000</v>
      </c>
      <c r="L31" s="9" t="n">
        <v>15109000</v>
      </c>
    </row>
    <row r="32">
      <c r="A32" s="1" t="inlineStr">
        <is>
          <t>Year 1</t>
        </is>
      </c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</row>
    <row r="33">
      <c r="A33" s="1" t="inlineStr">
        <is>
          <t>Feed Cost Yr1 Actual</t>
        </is>
      </c>
      <c r="B33" s="1" t="inlineStr">
        <is>
          <t>Pay</t>
        </is>
      </c>
      <c r="C33" s="1" t="inlineStr">
        <is>
          <t>Number</t>
        </is>
      </c>
      <c r="D33" s="1" t="inlineStr">
        <is>
          <t>Month 1</t>
        </is>
      </c>
      <c r="E33" s="1" t="inlineStr">
        <is>
          <t>Month 2</t>
        </is>
      </c>
      <c r="F33" s="1" t="inlineStr">
        <is>
          <t>Month 3</t>
        </is>
      </c>
      <c r="G33" s="1" t="inlineStr">
        <is>
          <t>Month 4</t>
        </is>
      </c>
      <c r="H33" s="1" t="inlineStr">
        <is>
          <t>Month 5</t>
        </is>
      </c>
      <c r="I33" s="1" t="inlineStr">
        <is>
          <t>Month 6</t>
        </is>
      </c>
      <c r="J33" s="1" t="n"/>
      <c r="K33" s="1" t="n"/>
      <c r="L33" s="1" t="inlineStr">
        <is>
          <t>Month 7</t>
        </is>
      </c>
      <c r="M33" s="1" t="inlineStr">
        <is>
          <t>Month 8</t>
        </is>
      </c>
      <c r="N33" s="1" t="inlineStr">
        <is>
          <t>Month 9</t>
        </is>
      </c>
      <c r="O33" s="1" t="inlineStr">
        <is>
          <t>Month 10</t>
        </is>
      </c>
      <c r="P33" s="1" t="inlineStr">
        <is>
          <t>Month 11</t>
        </is>
      </c>
      <c r="Q33" s="1" t="inlineStr">
        <is>
          <t>Month 12</t>
        </is>
      </c>
      <c r="R33" s="1" t="inlineStr">
        <is>
          <t>Total</t>
        </is>
      </c>
    </row>
    <row r="34">
      <c r="A34" t="inlineStr">
        <is>
          <t>corn</t>
        </is>
      </c>
      <c r="B34" s="9" t="n">
        <v>4</v>
      </c>
      <c r="C34" s="9" t="n">
        <v>80</v>
      </c>
      <c r="D34" s="9" t="n">
        <v>0</v>
      </c>
      <c r="E34" s="9" t="n">
        <v>0</v>
      </c>
      <c r="F34" s="9" t="n">
        <v>0</v>
      </c>
      <c r="I34" s="9" t="n">
        <v>0</v>
      </c>
      <c r="L34" s="9" t="n">
        <v>0</v>
      </c>
      <c r="P34" s="9" t="n">
        <v>0</v>
      </c>
      <c r="Q34" s="9" t="n">
        <v>0</v>
      </c>
      <c r="R34" s="9" t="n">
        <v>0</v>
      </c>
    </row>
    <row r="35">
      <c r="A35" t="inlineStr">
        <is>
          <t>king grass</t>
        </is>
      </c>
      <c r="B35" s="9" t="n">
        <v>6</v>
      </c>
      <c r="C35" s="9" t="n">
        <v>80</v>
      </c>
      <c r="E35" s="9" t="n">
        <v>0</v>
      </c>
      <c r="F35" s="9" t="n">
        <v>0</v>
      </c>
      <c r="I35" s="9" t="n">
        <v>0</v>
      </c>
      <c r="L35" s="9" t="n">
        <v>0</v>
      </c>
      <c r="P35" s="9" t="n">
        <v>0</v>
      </c>
      <c r="Q35" s="9" t="n">
        <v>0</v>
      </c>
      <c r="R35" s="9" t="n">
        <v>0</v>
      </c>
    </row>
    <row r="36">
      <c r="A36" t="inlineStr">
        <is>
          <t>alfalfa</t>
        </is>
      </c>
      <c r="B36" s="9" t="n">
        <v>6</v>
      </c>
      <c r="C36" s="9" t="n">
        <v>80</v>
      </c>
      <c r="E36" s="9" t="n">
        <v>0</v>
      </c>
      <c r="F36" s="9" t="n">
        <v>0</v>
      </c>
      <c r="I36" s="9" t="n">
        <v>0</v>
      </c>
      <c r="L36" s="9" t="n">
        <v>0</v>
      </c>
      <c r="P36" s="9" t="n">
        <v>0</v>
      </c>
      <c r="Q36" s="9" t="n">
        <v>0</v>
      </c>
      <c r="R36" s="9" t="n">
        <v>0</v>
      </c>
    </row>
    <row r="37">
      <c r="A37" t="inlineStr">
        <is>
          <t>supplement</t>
        </is>
      </c>
      <c r="B37" s="9" t="n">
        <v>4</v>
      </c>
      <c r="C37" s="9" t="n">
        <v>80</v>
      </c>
      <c r="E37" s="9" t="n">
        <v>0</v>
      </c>
      <c r="F37" s="9" t="n">
        <v>0</v>
      </c>
      <c r="G37" s="9" t="n">
        <v>2304000</v>
      </c>
      <c r="I37" s="9" t="n">
        <v>0</v>
      </c>
      <c r="L37" s="9" t="n">
        <v>0</v>
      </c>
      <c r="M37" s="9" t="n">
        <v>0</v>
      </c>
      <c r="N37" s="9" t="n">
        <v>0</v>
      </c>
      <c r="O37" s="9" t="n">
        <v>0</v>
      </c>
      <c r="P37" s="9" t="n">
        <v>0</v>
      </c>
      <c r="Q37" s="9" t="n">
        <v>0</v>
      </c>
      <c r="R37" s="9" t="n">
        <v>2304000</v>
      </c>
    </row>
    <row r="38">
      <c r="D38" s="9" t="n">
        <v>0</v>
      </c>
      <c r="E38" s="9" t="n">
        <v>0</v>
      </c>
      <c r="F38" s="9" t="n">
        <v>0</v>
      </c>
      <c r="G38" s="9" t="n">
        <v>2304000</v>
      </c>
      <c r="H38" s="9" t="n">
        <v>0</v>
      </c>
      <c r="I38" s="9" t="n">
        <v>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0</v>
      </c>
      <c r="Q38" s="9" t="n">
        <v>0</v>
      </c>
      <c r="R38" s="9" t="n">
        <v>2304000</v>
      </c>
    </row>
    <row r="39">
      <c r="B39" t="inlineStr">
        <is>
          <t>FeedPerMilkingCow</t>
        </is>
      </c>
      <c r="D39" s="9" t="n">
        <v>28800</v>
      </c>
    </row>
    <row r="40">
      <c r="A40" t="inlineStr">
        <is>
          <t>year 2</t>
        </is>
      </c>
    </row>
    <row r="41">
      <c r="A41" s="1" t="inlineStr">
        <is>
          <t>Feed Cost Yr2 Model</t>
        </is>
      </c>
      <c r="B41" s="1" t="inlineStr">
        <is>
          <t>Pay</t>
        </is>
      </c>
      <c r="C41" s="1" t="inlineStr">
        <is>
          <t>Number</t>
        </is>
      </c>
      <c r="D41" s="1" t="inlineStr">
        <is>
          <t>Month 1</t>
        </is>
      </c>
      <c r="E41" s="1" t="inlineStr">
        <is>
          <t>Month 2</t>
        </is>
      </c>
      <c r="F41" s="1" t="inlineStr">
        <is>
          <t>Month 3</t>
        </is>
      </c>
      <c r="G41" s="1" t="inlineStr">
        <is>
          <t>Month 4</t>
        </is>
      </c>
      <c r="H41" s="1" t="inlineStr">
        <is>
          <t>Month 5</t>
        </is>
      </c>
      <c r="I41" s="1" t="inlineStr">
        <is>
          <t>Month 6</t>
        </is>
      </c>
      <c r="J41" s="1" t="n"/>
      <c r="K41" s="1" t="n"/>
      <c r="L41" s="1" t="inlineStr">
        <is>
          <t>Month 7</t>
        </is>
      </c>
      <c r="M41" s="1" t="inlineStr">
        <is>
          <t>Month 8</t>
        </is>
      </c>
      <c r="N41" s="1" t="inlineStr">
        <is>
          <t>Month 9</t>
        </is>
      </c>
      <c r="O41" s="1" t="inlineStr">
        <is>
          <t>Month 10</t>
        </is>
      </c>
      <c r="P41" s="1" t="inlineStr">
        <is>
          <t>Month 11</t>
        </is>
      </c>
      <c r="Q41" s="1" t="inlineStr">
        <is>
          <t>Month 12</t>
        </is>
      </c>
      <c r="R41" s="1" t="inlineStr">
        <is>
          <t>Total</t>
        </is>
      </c>
    </row>
    <row r="42">
      <c r="A42" t="inlineStr">
        <is>
          <t>corn</t>
        </is>
      </c>
      <c r="B42" s="9" t="n">
        <v>4</v>
      </c>
      <c r="C42" s="9" t="n">
        <v>80</v>
      </c>
      <c r="D42" s="9" t="n">
        <v>0</v>
      </c>
      <c r="E42" s="9" t="n">
        <v>0</v>
      </c>
      <c r="O42" s="9" t="n">
        <v>0</v>
      </c>
      <c r="R42" s="9" t="n">
        <v>0</v>
      </c>
    </row>
    <row r="43">
      <c r="A43" t="inlineStr">
        <is>
          <t>king grass</t>
        </is>
      </c>
      <c r="B43" s="9" t="n">
        <v>6</v>
      </c>
      <c r="C43" s="9" t="n">
        <v>80</v>
      </c>
      <c r="D43" s="9" t="n">
        <v>0</v>
      </c>
      <c r="E43" s="9" t="n">
        <v>0</v>
      </c>
      <c r="O43" s="9" t="n">
        <v>0</v>
      </c>
      <c r="R43" s="9" t="n">
        <v>0</v>
      </c>
    </row>
    <row r="44">
      <c r="A44" t="inlineStr">
        <is>
          <t>alfalfa</t>
        </is>
      </c>
      <c r="B44" s="9" t="n">
        <v>6</v>
      </c>
      <c r="C44" s="9" t="n">
        <v>80</v>
      </c>
      <c r="D44" s="9" t="n">
        <v>0</v>
      </c>
      <c r="E44" s="9" t="n">
        <v>0</v>
      </c>
      <c r="O44" s="9" t="n">
        <v>0</v>
      </c>
      <c r="R44" s="9" t="n">
        <v>0</v>
      </c>
    </row>
    <row r="45">
      <c r="A45" t="inlineStr">
        <is>
          <t>supplement</t>
        </is>
      </c>
      <c r="B45" s="9" t="n">
        <v>4</v>
      </c>
      <c r="C45" s="9" t="n">
        <v>80</v>
      </c>
      <c r="D45" s="9" t="n">
        <v>0</v>
      </c>
      <c r="E45" s="9" t="n">
        <v>0</v>
      </c>
      <c r="G45" s="9" t="n">
        <v>3456000</v>
      </c>
      <c r="I45" s="9" t="n">
        <v>0</v>
      </c>
      <c r="L45" s="9" t="n">
        <v>0</v>
      </c>
      <c r="M45" s="9" t="n">
        <v>0</v>
      </c>
      <c r="N45" s="9" t="n">
        <v>0</v>
      </c>
      <c r="O45" s="9" t="n">
        <v>0</v>
      </c>
      <c r="P45" s="9" t="n">
        <v>0</v>
      </c>
      <c r="Q45" s="9" t="n">
        <v>0</v>
      </c>
      <c r="R45" s="9" t="n">
        <v>3456000</v>
      </c>
    </row>
    <row r="46">
      <c r="D46" s="9" t="n">
        <v>0</v>
      </c>
      <c r="E46" s="9" t="n">
        <v>0</v>
      </c>
      <c r="F46" s="9" t="n">
        <v>0</v>
      </c>
      <c r="G46" s="9" t="n">
        <v>3456000</v>
      </c>
      <c r="H46" s="9" t="n">
        <v>0</v>
      </c>
      <c r="I46" s="9" t="n">
        <v>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0</v>
      </c>
      <c r="Q46" s="9" t="n">
        <v>0</v>
      </c>
      <c r="R46" s="9" t="n">
        <v>3456000</v>
      </c>
    </row>
    <row r="47">
      <c r="B47" t="inlineStr">
        <is>
          <t>FeedPerMilkingCow</t>
        </is>
      </c>
      <c r="D47" s="9" t="n">
        <v>43200</v>
      </c>
    </row>
    <row r="48">
      <c r="A48" s="1" t="inlineStr">
        <is>
          <t>Feed Cost Yr2 Model</t>
        </is>
      </c>
      <c r="B48" s="1" t="inlineStr">
        <is>
          <t>Pay</t>
        </is>
      </c>
      <c r="C48" s="1" t="inlineStr">
        <is>
          <t>Number</t>
        </is>
      </c>
      <c r="D48" s="1" t="inlineStr">
        <is>
          <t>Month 1</t>
        </is>
      </c>
      <c r="E48" s="1" t="inlineStr">
        <is>
          <t>Month 2</t>
        </is>
      </c>
      <c r="F48" s="1" t="inlineStr">
        <is>
          <t>Month 3</t>
        </is>
      </c>
      <c r="G48" s="1" t="inlineStr">
        <is>
          <t>Month 4</t>
        </is>
      </c>
      <c r="H48" s="1" t="inlineStr">
        <is>
          <t>Month 5</t>
        </is>
      </c>
      <c r="I48" s="1" t="inlineStr">
        <is>
          <t>Month 6</t>
        </is>
      </c>
      <c r="J48" s="1" t="n"/>
      <c r="K48" s="1" t="n"/>
      <c r="L48" s="1" t="inlineStr">
        <is>
          <t>Month 7</t>
        </is>
      </c>
      <c r="M48" s="1" t="inlineStr">
        <is>
          <t>Month 8</t>
        </is>
      </c>
      <c r="N48" s="1" t="inlineStr">
        <is>
          <t>Month 9</t>
        </is>
      </c>
      <c r="O48" s="1" t="inlineStr">
        <is>
          <t>Month 10</t>
        </is>
      </c>
      <c r="P48" s="1" t="inlineStr">
        <is>
          <t>Month 11</t>
        </is>
      </c>
      <c r="Q48" s="1" t="inlineStr">
        <is>
          <t>Month 12</t>
        </is>
      </c>
      <c r="R48" s="1" t="inlineStr">
        <is>
          <t>Total</t>
        </is>
      </c>
    </row>
    <row r="49">
      <c r="A49" t="inlineStr">
        <is>
          <t>supplement</t>
        </is>
      </c>
      <c r="B49" s="9" t="n">
        <v>2</v>
      </c>
      <c r="C49" s="9" t="n">
        <v>80</v>
      </c>
      <c r="D49" s="9" t="n">
        <v>960000</v>
      </c>
      <c r="E49" s="9" t="n">
        <v>960000</v>
      </c>
      <c r="F49" s="9" t="n">
        <v>960000</v>
      </c>
      <c r="G49" s="9" t="n">
        <v>960000</v>
      </c>
      <c r="H49" s="9" t="n">
        <v>960000</v>
      </c>
      <c r="I49" s="9" t="n">
        <v>960000</v>
      </c>
      <c r="L49" s="9" t="n">
        <v>960000</v>
      </c>
      <c r="M49" s="9" t="n">
        <v>960000</v>
      </c>
      <c r="N49" s="9" t="n">
        <v>960000</v>
      </c>
      <c r="O49" s="9" t="n">
        <v>960000</v>
      </c>
      <c r="P49" s="9" t="n">
        <v>960000</v>
      </c>
      <c r="Q49" s="9" t="n">
        <v>960000</v>
      </c>
      <c r="R49" s="9" t="n">
        <v>11520000</v>
      </c>
    </row>
    <row r="50">
      <c r="A50" t="inlineStr">
        <is>
          <t>year 1</t>
        </is>
      </c>
    </row>
    <row r="51">
      <c r="A51" s="1" t="inlineStr">
        <is>
          <t>VetCost</t>
        </is>
      </c>
      <c r="B51" s="1" t="inlineStr">
        <is>
          <t>Pay</t>
        </is>
      </c>
      <c r="C51" s="1" t="inlineStr">
        <is>
          <t>Number</t>
        </is>
      </c>
      <c r="D51" s="1" t="inlineStr">
        <is>
          <t>Month 1</t>
        </is>
      </c>
      <c r="E51" s="1" t="inlineStr">
        <is>
          <t>Month 2</t>
        </is>
      </c>
      <c r="F51" s="1" t="inlineStr">
        <is>
          <t>Month 3</t>
        </is>
      </c>
      <c r="G51" s="1" t="inlineStr">
        <is>
          <t>Month 4</t>
        </is>
      </c>
      <c r="H51" s="1" t="inlineStr">
        <is>
          <t>Month 5</t>
        </is>
      </c>
      <c r="I51" s="1" t="inlineStr">
        <is>
          <t>Month 6</t>
        </is>
      </c>
      <c r="J51" s="1" t="n"/>
      <c r="K51" s="1" t="n"/>
      <c r="L51" s="1" t="inlineStr">
        <is>
          <t>Month 7</t>
        </is>
      </c>
      <c r="M51" s="1" t="inlineStr">
        <is>
          <t>Month 8</t>
        </is>
      </c>
      <c r="N51" s="1" t="inlineStr">
        <is>
          <t>Month 9</t>
        </is>
      </c>
      <c r="O51" s="1" t="inlineStr">
        <is>
          <t>Month 10</t>
        </is>
      </c>
      <c r="P51" s="1" t="inlineStr">
        <is>
          <t>Month 11</t>
        </is>
      </c>
      <c r="Q51" s="1" t="inlineStr">
        <is>
          <t>Month 12</t>
        </is>
      </c>
      <c r="R51" s="1" t="inlineStr">
        <is>
          <t>Total</t>
        </is>
      </c>
    </row>
    <row r="52">
      <c r="A52" t="inlineStr">
        <is>
          <t xml:space="preserve">Vet 1 </t>
        </is>
      </c>
      <c r="B52" s="9" t="n">
        <v>100000</v>
      </c>
      <c r="C52" s="9" t="n">
        <v>1</v>
      </c>
      <c r="I52" s="9" t="n">
        <v>100000</v>
      </c>
      <c r="L52" s="9" t="n">
        <v>100000</v>
      </c>
      <c r="M52" s="9" t="n">
        <v>100000</v>
      </c>
      <c r="N52" s="9" t="n">
        <v>100000</v>
      </c>
      <c r="O52" s="9" t="n">
        <v>100000</v>
      </c>
      <c r="P52" s="9" t="n">
        <v>100000</v>
      </c>
      <c r="Q52" s="9" t="n">
        <v>100000</v>
      </c>
      <c r="R52" s="9" t="n">
        <v>700000</v>
      </c>
    </row>
    <row r="53">
      <c r="A53" t="inlineStr">
        <is>
          <t>Vet 2</t>
        </is>
      </c>
      <c r="B53" s="9" t="n">
        <v>75000</v>
      </c>
      <c r="C53" s="9" t="n">
        <v>1</v>
      </c>
      <c r="L53" s="9" t="n">
        <v>75000</v>
      </c>
      <c r="M53" s="9" t="n">
        <v>75000</v>
      </c>
      <c r="N53" s="9" t="n">
        <v>75000</v>
      </c>
      <c r="O53" s="9" t="n">
        <v>75000</v>
      </c>
      <c r="P53" s="9" t="n">
        <v>75000</v>
      </c>
      <c r="Q53" s="9" t="n">
        <v>75000</v>
      </c>
      <c r="R53" s="9" t="n">
        <v>450000</v>
      </c>
    </row>
    <row r="54">
      <c r="A54" t="inlineStr">
        <is>
          <t>Medics et al</t>
        </is>
      </c>
      <c r="Q54" s="9" t="n">
        <v>100000</v>
      </c>
      <c r="R54" s="9" t="n">
        <v>100000</v>
      </c>
    </row>
    <row r="55">
      <c r="D55" s="9" t="n">
        <v>0</v>
      </c>
      <c r="E55" s="9" t="n">
        <v>0</v>
      </c>
      <c r="F55" s="9" t="n">
        <v>0</v>
      </c>
      <c r="G55" s="9" t="n">
        <v>0</v>
      </c>
      <c r="H55" s="9" t="n">
        <v>0</v>
      </c>
      <c r="I55" s="9" t="n">
        <v>100000</v>
      </c>
      <c r="L55" s="9" t="n">
        <v>175000</v>
      </c>
      <c r="M55" s="9" t="n">
        <v>175000</v>
      </c>
      <c r="N55" s="9" t="n">
        <v>175000</v>
      </c>
      <c r="O55" s="9" t="n">
        <v>175000</v>
      </c>
      <c r="P55" s="9" t="n">
        <v>175000</v>
      </c>
      <c r="Q55" s="9" t="n">
        <v>275000</v>
      </c>
      <c r="R55" s="9" t="n">
        <v>1250000</v>
      </c>
    </row>
    <row r="56">
      <c r="B56" t="inlineStr">
        <is>
          <t>VetPerCow</t>
        </is>
      </c>
      <c r="C56" s="9" t="n">
        <v>15625</v>
      </c>
    </row>
    <row r="57">
      <c r="A57" t="inlineStr">
        <is>
          <t>year 2</t>
        </is>
      </c>
    </row>
    <row r="58">
      <c r="A58" s="1" t="inlineStr">
        <is>
          <t>VetCost</t>
        </is>
      </c>
      <c r="B58" s="1" t="inlineStr">
        <is>
          <t>Pay</t>
        </is>
      </c>
      <c r="C58" s="1" t="inlineStr">
        <is>
          <t>Number</t>
        </is>
      </c>
      <c r="D58" s="1" t="inlineStr">
        <is>
          <t>Month 1</t>
        </is>
      </c>
      <c r="E58" s="1" t="inlineStr">
        <is>
          <t>Month 2</t>
        </is>
      </c>
      <c r="F58" s="1" t="inlineStr">
        <is>
          <t>Month 3</t>
        </is>
      </c>
      <c r="G58" s="1" t="inlineStr">
        <is>
          <t>Month 4</t>
        </is>
      </c>
      <c r="H58" s="1" t="inlineStr">
        <is>
          <t>Month 5</t>
        </is>
      </c>
      <c r="I58" s="1" t="inlineStr">
        <is>
          <t>Month 6</t>
        </is>
      </c>
      <c r="J58" s="1" t="n"/>
      <c r="K58" s="1" t="n"/>
      <c r="L58" s="1" t="inlineStr">
        <is>
          <t>Month 7</t>
        </is>
      </c>
      <c r="M58" s="1" t="inlineStr">
        <is>
          <t>Month 8</t>
        </is>
      </c>
      <c r="N58" s="1" t="inlineStr">
        <is>
          <t>Month 9</t>
        </is>
      </c>
      <c r="O58" s="1" t="inlineStr">
        <is>
          <t>Month 10</t>
        </is>
      </c>
      <c r="P58" s="1" t="inlineStr">
        <is>
          <t>Month 11</t>
        </is>
      </c>
      <c r="Q58" s="1" t="inlineStr">
        <is>
          <t>Month 12</t>
        </is>
      </c>
      <c r="R58" s="1" t="inlineStr">
        <is>
          <t>Total</t>
        </is>
      </c>
    </row>
    <row r="59">
      <c r="A59" t="inlineStr">
        <is>
          <t xml:space="preserve">Vet 1 </t>
        </is>
      </c>
      <c r="B59" s="9" t="n">
        <v>100000</v>
      </c>
      <c r="C59" s="9" t="n">
        <v>1</v>
      </c>
      <c r="D59" s="9" t="n">
        <v>100000</v>
      </c>
      <c r="E59" s="9" t="n">
        <v>100000</v>
      </c>
      <c r="F59" s="9" t="n">
        <v>100000</v>
      </c>
      <c r="G59" s="9" t="n">
        <v>100000</v>
      </c>
      <c r="H59" s="9" t="n">
        <v>100000</v>
      </c>
      <c r="I59" s="9" t="n">
        <v>100000</v>
      </c>
      <c r="L59" s="9" t="n">
        <v>100000</v>
      </c>
      <c r="M59" s="9" t="n">
        <v>100000</v>
      </c>
      <c r="N59" s="9" t="n">
        <v>100000</v>
      </c>
      <c r="O59" s="9" t="n">
        <v>100000</v>
      </c>
      <c r="P59" s="9" t="n">
        <v>100000</v>
      </c>
      <c r="Q59" s="9" t="n">
        <v>100000</v>
      </c>
      <c r="R59" s="9" t="n">
        <v>1200000</v>
      </c>
    </row>
    <row r="60">
      <c r="A60" t="inlineStr">
        <is>
          <t>Vet 2</t>
        </is>
      </c>
      <c r="B60" s="9" t="n">
        <v>75000</v>
      </c>
      <c r="C60" s="9" t="n">
        <v>1</v>
      </c>
      <c r="D60" s="9" t="n">
        <v>75000</v>
      </c>
      <c r="E60" s="9" t="n">
        <v>75000</v>
      </c>
      <c r="F60" s="9" t="n">
        <v>75000</v>
      </c>
      <c r="G60" s="9" t="n">
        <v>75000</v>
      </c>
      <c r="H60" s="9" t="n">
        <v>75000</v>
      </c>
      <c r="I60" s="9" t="n">
        <v>75000</v>
      </c>
      <c r="L60" s="9" t="n">
        <v>75000</v>
      </c>
      <c r="M60" s="9" t="n">
        <v>75000</v>
      </c>
      <c r="N60" s="9" t="n">
        <v>75000</v>
      </c>
      <c r="O60" s="9" t="n">
        <v>75000</v>
      </c>
      <c r="P60" s="9" t="n">
        <v>75000</v>
      </c>
      <c r="Q60" s="9" t="n">
        <v>75000</v>
      </c>
      <c r="R60" s="9" t="n">
        <v>900000</v>
      </c>
    </row>
    <row r="61">
      <c r="A61" t="inlineStr">
        <is>
          <t>Medics et al</t>
        </is>
      </c>
      <c r="Q61" s="9" t="n">
        <v>100000</v>
      </c>
      <c r="R61" s="9" t="n">
        <v>100000</v>
      </c>
    </row>
    <row r="62">
      <c r="D62" s="9" t="n">
        <v>175000</v>
      </c>
      <c r="E62" s="9" t="n">
        <v>175000</v>
      </c>
      <c r="F62" s="9" t="n">
        <v>175000</v>
      </c>
      <c r="G62" s="9" t="n">
        <v>175000</v>
      </c>
      <c r="H62" s="9" t="n">
        <v>175000</v>
      </c>
      <c r="I62" s="9" t="n">
        <v>175000</v>
      </c>
      <c r="L62" s="9" t="n">
        <v>175000</v>
      </c>
      <c r="M62" s="9" t="n">
        <v>175000</v>
      </c>
      <c r="N62" s="9" t="n">
        <v>175000</v>
      </c>
      <c r="O62" s="9" t="n">
        <v>175000</v>
      </c>
      <c r="P62" s="9" t="n">
        <v>175000</v>
      </c>
      <c r="Q62" s="9" t="n">
        <v>275000</v>
      </c>
      <c r="R62" s="9" t="n">
        <v>2200000</v>
      </c>
    </row>
    <row r="63">
      <c r="B63" t="inlineStr">
        <is>
          <t>VetPerCow</t>
        </is>
      </c>
      <c r="C63" s="9" t="n">
        <v>27500</v>
      </c>
    </row>
    <row r="64">
      <c r="A64" t="inlineStr">
        <is>
          <t>year 1</t>
        </is>
      </c>
    </row>
    <row r="65">
      <c r="A65" s="1" t="inlineStr">
        <is>
          <t>Payroll</t>
        </is>
      </c>
      <c r="B65" s="1" t="inlineStr">
        <is>
          <t>Pay</t>
        </is>
      </c>
      <c r="C65" s="1" t="inlineStr">
        <is>
          <t>Number</t>
        </is>
      </c>
      <c r="D65" s="1" t="inlineStr">
        <is>
          <t>Month 1</t>
        </is>
      </c>
      <c r="E65" s="1" t="inlineStr">
        <is>
          <t>Month 2</t>
        </is>
      </c>
      <c r="F65" s="1" t="inlineStr">
        <is>
          <t>Month 3</t>
        </is>
      </c>
      <c r="G65" s="1" t="inlineStr">
        <is>
          <t>Month 4</t>
        </is>
      </c>
      <c r="H65" s="1" t="inlineStr">
        <is>
          <t>Month 5</t>
        </is>
      </c>
      <c r="I65" s="1" t="inlineStr">
        <is>
          <t>Month 6</t>
        </is>
      </c>
      <c r="J65" s="1" t="n"/>
      <c r="K65" s="1" t="n"/>
      <c r="L65" s="1" t="inlineStr">
        <is>
          <t>Month 7</t>
        </is>
      </c>
      <c r="M65" s="1" t="inlineStr">
        <is>
          <t>Month 8</t>
        </is>
      </c>
      <c r="N65" s="1" t="inlineStr">
        <is>
          <t>Month 9</t>
        </is>
      </c>
      <c r="O65" s="1" t="inlineStr">
        <is>
          <t>Month 10</t>
        </is>
      </c>
      <c r="P65" s="1" t="inlineStr">
        <is>
          <t>Month 11</t>
        </is>
      </c>
      <c r="Q65" s="1" t="inlineStr">
        <is>
          <t>Month 12</t>
        </is>
      </c>
      <c r="R65" s="1" t="inlineStr">
        <is>
          <t>Total</t>
        </is>
      </c>
    </row>
    <row r="66">
      <c r="A66" t="inlineStr">
        <is>
          <t>Manager</t>
        </is>
      </c>
      <c r="B66" s="9" t="n">
        <v>120000</v>
      </c>
      <c r="C66" s="9" t="n">
        <v>1</v>
      </c>
      <c r="E66" s="9" t="n">
        <v>120000</v>
      </c>
      <c r="F66" s="9" t="n">
        <v>120000</v>
      </c>
      <c r="G66" s="9" t="n">
        <v>120000</v>
      </c>
      <c r="H66" s="9" t="n">
        <v>120000</v>
      </c>
      <c r="I66" s="9" t="n">
        <v>120000</v>
      </c>
      <c r="L66" s="9" t="n">
        <v>120000</v>
      </c>
      <c r="M66" s="9" t="n">
        <v>120000</v>
      </c>
      <c r="N66" s="9" t="n">
        <v>120000</v>
      </c>
      <c r="O66" s="9" t="n">
        <v>120000</v>
      </c>
      <c r="P66" s="9" t="n">
        <v>120000</v>
      </c>
      <c r="Q66" s="9" t="n">
        <v>120000</v>
      </c>
      <c r="R66" s="9" t="n">
        <v>1320000</v>
      </c>
    </row>
    <row r="67">
      <c r="A67" t="inlineStr">
        <is>
          <t>AdminAcct</t>
        </is>
      </c>
      <c r="B67" s="9" t="n">
        <v>100000</v>
      </c>
      <c r="C67" s="9" t="n">
        <v>1</v>
      </c>
      <c r="L67" s="9" t="n">
        <v>100000</v>
      </c>
      <c r="M67" s="9" t="n">
        <v>100000</v>
      </c>
      <c r="N67" s="9" t="n">
        <v>100000</v>
      </c>
      <c r="O67" s="9" t="n">
        <v>100000</v>
      </c>
      <c r="P67" s="9" t="n">
        <v>100000</v>
      </c>
      <c r="Q67" s="9" t="n">
        <v>100000</v>
      </c>
      <c r="R67" s="9" t="n">
        <v>600000</v>
      </c>
    </row>
    <row r="68">
      <c r="A68" t="inlineStr">
        <is>
          <t>Driver 1 Tractor</t>
        </is>
      </c>
      <c r="B68" s="9" t="n">
        <v>75000</v>
      </c>
      <c r="C68" s="9" t="n">
        <v>1</v>
      </c>
      <c r="E68" s="9" t="n">
        <v>75000</v>
      </c>
      <c r="F68" s="9" t="n">
        <v>75000</v>
      </c>
      <c r="G68" s="9" t="n">
        <v>75000</v>
      </c>
      <c r="H68" s="9" t="n">
        <v>75000</v>
      </c>
      <c r="I68" s="9" t="n">
        <v>75000</v>
      </c>
      <c r="L68" s="9" t="n">
        <v>75000</v>
      </c>
      <c r="M68" s="9" t="n">
        <v>75000</v>
      </c>
      <c r="N68" s="9" t="n">
        <v>75000</v>
      </c>
      <c r="O68" s="9" t="n">
        <v>75000</v>
      </c>
      <c r="P68" s="9" t="n">
        <v>75000</v>
      </c>
      <c r="Q68" s="9" t="n">
        <v>75000</v>
      </c>
      <c r="R68" s="9" t="n">
        <v>825000</v>
      </c>
    </row>
    <row r="69">
      <c r="A69" t="inlineStr">
        <is>
          <t xml:space="preserve">Driver 2 Truck </t>
        </is>
      </c>
      <c r="B69" s="9" t="n">
        <v>75000</v>
      </c>
      <c r="C69" s="9" t="n">
        <v>1</v>
      </c>
      <c r="R69" s="9" t="n">
        <v>0</v>
      </c>
    </row>
    <row r="70">
      <c r="A70" t="inlineStr">
        <is>
          <t>Cow Boys</t>
        </is>
      </c>
      <c r="B70" s="9" t="n">
        <v>70000</v>
      </c>
      <c r="C70" s="9" t="n">
        <v>4</v>
      </c>
      <c r="H70" s="9" t="n">
        <v>0</v>
      </c>
      <c r="I70" s="9" t="n">
        <v>140000</v>
      </c>
      <c r="L70" s="9" t="n">
        <v>140000</v>
      </c>
      <c r="M70" s="9" t="n">
        <v>140000</v>
      </c>
      <c r="N70" s="9" t="n">
        <v>140000</v>
      </c>
      <c r="O70" s="9" t="n">
        <v>210000</v>
      </c>
      <c r="P70" s="9" t="n">
        <v>210000</v>
      </c>
      <c r="Q70" s="9" t="n">
        <v>210000</v>
      </c>
      <c r="R70" s="9" t="n">
        <v>1190000</v>
      </c>
    </row>
    <row r="71">
      <c r="A71" t="inlineStr">
        <is>
          <t>Farm Hands</t>
        </is>
      </c>
      <c r="B71" s="9" t="n">
        <v>70000</v>
      </c>
      <c r="C71" s="9" t="n">
        <v>4</v>
      </c>
      <c r="E71" s="9" t="n">
        <v>280000</v>
      </c>
      <c r="F71" s="9" t="n">
        <v>280000</v>
      </c>
      <c r="G71" s="9" t="n">
        <v>280000</v>
      </c>
      <c r="H71" s="9" t="n">
        <v>280000</v>
      </c>
      <c r="I71" s="9" t="n">
        <v>280000</v>
      </c>
      <c r="L71" s="9" t="n">
        <v>280000</v>
      </c>
      <c r="M71" s="9" t="n">
        <v>280000</v>
      </c>
      <c r="N71" s="9" t="n">
        <v>280000</v>
      </c>
      <c r="O71" s="9" t="n">
        <v>280000</v>
      </c>
      <c r="P71" s="9" t="n">
        <v>280000</v>
      </c>
      <c r="Q71" s="9" t="n">
        <v>280000</v>
      </c>
      <c r="R71" s="9" t="n">
        <v>3080000</v>
      </c>
    </row>
    <row r="72">
      <c r="D72" s="9" t="n">
        <v>0</v>
      </c>
      <c r="E72" s="9" t="n">
        <v>475000</v>
      </c>
      <c r="F72" s="9" t="n">
        <v>475000</v>
      </c>
      <c r="G72" s="9" t="n">
        <v>475000</v>
      </c>
      <c r="H72" s="9" t="n">
        <v>475000</v>
      </c>
      <c r="I72" s="9" t="n">
        <v>615000</v>
      </c>
      <c r="L72" s="9" t="n">
        <v>715000</v>
      </c>
      <c r="M72" s="9" t="n">
        <v>715000</v>
      </c>
      <c r="N72" s="9" t="n">
        <v>715000</v>
      </c>
      <c r="O72" s="9" t="n">
        <v>785000</v>
      </c>
      <c r="P72" s="9" t="n">
        <v>785000</v>
      </c>
      <c r="Q72" s="9" t="n">
        <v>785000</v>
      </c>
      <c r="R72" s="9" t="n">
        <v>7015000</v>
      </c>
    </row>
    <row r="73">
      <c r="B73" t="inlineStr">
        <is>
          <t>BasePayroll100</t>
        </is>
      </c>
      <c r="C73" s="9" t="n">
        <v>7015000</v>
      </c>
    </row>
    <row r="74">
      <c r="A74" t="inlineStr">
        <is>
          <t>year 2</t>
        </is>
      </c>
    </row>
    <row r="75">
      <c r="A75" s="1" t="inlineStr">
        <is>
          <t>Payroll</t>
        </is>
      </c>
      <c r="B75" s="1" t="inlineStr">
        <is>
          <t>Pay</t>
        </is>
      </c>
      <c r="C75" s="1" t="inlineStr">
        <is>
          <t>Number</t>
        </is>
      </c>
      <c r="D75" s="1" t="inlineStr">
        <is>
          <t>Month 1</t>
        </is>
      </c>
      <c r="E75" s="1" t="inlineStr">
        <is>
          <t>Month 2</t>
        </is>
      </c>
      <c r="F75" s="1" t="inlineStr">
        <is>
          <t>Month 3</t>
        </is>
      </c>
      <c r="G75" s="1" t="inlineStr">
        <is>
          <t>Month 4</t>
        </is>
      </c>
      <c r="H75" s="1" t="inlineStr">
        <is>
          <t>Month 5</t>
        </is>
      </c>
      <c r="I75" s="1" t="inlineStr">
        <is>
          <t>Month 6</t>
        </is>
      </c>
      <c r="J75" s="1" t="n"/>
      <c r="K75" s="1" t="n"/>
      <c r="L75" s="1" t="inlineStr">
        <is>
          <t>Month 7</t>
        </is>
      </c>
      <c r="M75" s="1" t="inlineStr">
        <is>
          <t>Month 8</t>
        </is>
      </c>
      <c r="N75" s="1" t="inlineStr">
        <is>
          <t>Month 9</t>
        </is>
      </c>
      <c r="O75" s="1" t="inlineStr">
        <is>
          <t>Month 10</t>
        </is>
      </c>
      <c r="P75" s="1" t="inlineStr">
        <is>
          <t>Month 11</t>
        </is>
      </c>
      <c r="Q75" s="1" t="inlineStr">
        <is>
          <t>Month 12</t>
        </is>
      </c>
      <c r="R75" s="1" t="inlineStr">
        <is>
          <t>Total</t>
        </is>
      </c>
    </row>
    <row r="76">
      <c r="A76" t="inlineStr">
        <is>
          <t>Manager</t>
        </is>
      </c>
      <c r="B76" s="9" t="n">
        <v>120000</v>
      </c>
      <c r="C76" s="9" t="n">
        <v>1</v>
      </c>
      <c r="D76" s="9" t="n">
        <v>120000</v>
      </c>
      <c r="E76" s="9" t="n">
        <v>120000</v>
      </c>
      <c r="F76" s="9" t="n">
        <v>120000</v>
      </c>
      <c r="G76" s="9" t="n">
        <v>120000</v>
      </c>
      <c r="H76" s="9" t="n">
        <v>120000</v>
      </c>
      <c r="I76" s="9" t="n">
        <v>120000</v>
      </c>
      <c r="L76" s="9" t="n">
        <v>120000</v>
      </c>
      <c r="M76" s="9" t="n">
        <v>120000</v>
      </c>
      <c r="N76" s="9" t="n">
        <v>120000</v>
      </c>
      <c r="O76" s="9" t="n">
        <v>120000</v>
      </c>
      <c r="P76" s="9" t="n">
        <v>120000</v>
      </c>
      <c r="Q76" s="9" t="n">
        <v>120000</v>
      </c>
      <c r="R76" s="9" t="n">
        <v>1440000</v>
      </c>
    </row>
    <row r="77">
      <c r="A77" t="inlineStr">
        <is>
          <t>AdminAcct</t>
        </is>
      </c>
      <c r="B77" s="9" t="n">
        <v>100000</v>
      </c>
      <c r="C77" s="9" t="n">
        <v>1</v>
      </c>
      <c r="D77" s="9" t="n">
        <v>100000</v>
      </c>
      <c r="E77" s="9" t="n">
        <v>100000</v>
      </c>
      <c r="F77" s="9" t="n">
        <v>100000</v>
      </c>
      <c r="G77" s="9" t="n">
        <v>100000</v>
      </c>
      <c r="H77" s="9" t="n">
        <v>100000</v>
      </c>
      <c r="I77" s="9" t="n">
        <v>100000</v>
      </c>
      <c r="L77" s="9" t="n">
        <v>100000</v>
      </c>
      <c r="M77" s="9" t="n">
        <v>100000</v>
      </c>
      <c r="N77" s="9" t="n">
        <v>100000</v>
      </c>
      <c r="O77" s="9" t="n">
        <v>100000</v>
      </c>
      <c r="P77" s="9" t="n">
        <v>100000</v>
      </c>
      <c r="Q77" s="9" t="n">
        <v>100000</v>
      </c>
      <c r="R77" s="9" t="n">
        <v>1200000</v>
      </c>
    </row>
    <row r="78">
      <c r="A78" t="inlineStr">
        <is>
          <t>Driver 1 Tractor</t>
        </is>
      </c>
      <c r="B78" s="9" t="n">
        <v>75000</v>
      </c>
      <c r="C78" s="9" t="n">
        <v>1</v>
      </c>
      <c r="D78" s="9" t="n">
        <v>75000</v>
      </c>
      <c r="E78" s="9" t="n">
        <v>75000</v>
      </c>
      <c r="F78" s="9" t="n">
        <v>75000</v>
      </c>
      <c r="G78" s="9" t="n">
        <v>75000</v>
      </c>
      <c r="H78" s="9" t="n">
        <v>75000</v>
      </c>
      <c r="I78" s="9" t="n">
        <v>75000</v>
      </c>
      <c r="L78" s="9" t="n">
        <v>75000</v>
      </c>
      <c r="M78" s="9" t="n">
        <v>75000</v>
      </c>
      <c r="N78" s="9" t="n">
        <v>75000</v>
      </c>
      <c r="O78" s="9" t="n">
        <v>75000</v>
      </c>
      <c r="P78" s="9" t="n">
        <v>75000</v>
      </c>
      <c r="Q78" s="9" t="n">
        <v>75000</v>
      </c>
      <c r="R78" s="9" t="n">
        <v>900000</v>
      </c>
    </row>
    <row r="79">
      <c r="A79" t="inlineStr">
        <is>
          <t xml:space="preserve">Driver 2 Truck </t>
        </is>
      </c>
      <c r="B79" s="9" t="n">
        <v>75000</v>
      </c>
      <c r="C79" s="9" t="n">
        <v>1</v>
      </c>
      <c r="G79" s="9" t="n">
        <v>75000</v>
      </c>
      <c r="H79" s="9" t="n">
        <v>75000</v>
      </c>
      <c r="I79" s="9" t="n">
        <v>75000</v>
      </c>
      <c r="L79" s="9" t="n">
        <v>75000</v>
      </c>
      <c r="M79" s="9" t="n">
        <v>75000</v>
      </c>
      <c r="N79" s="9" t="n">
        <v>75000</v>
      </c>
      <c r="O79" s="9" t="n">
        <v>75000</v>
      </c>
      <c r="P79" s="9" t="n">
        <v>75000</v>
      </c>
      <c r="Q79" s="9" t="n">
        <v>75000</v>
      </c>
      <c r="R79" s="9" t="n">
        <v>675000</v>
      </c>
    </row>
    <row r="80">
      <c r="A80" t="inlineStr">
        <is>
          <t>Cow Boys</t>
        </is>
      </c>
      <c r="B80" s="9" t="n">
        <v>70000</v>
      </c>
      <c r="C80" s="9" t="n">
        <v>4</v>
      </c>
      <c r="D80" s="9" t="n">
        <v>280000</v>
      </c>
      <c r="E80" s="9" t="n">
        <v>280000</v>
      </c>
      <c r="F80" s="9" t="n">
        <v>280000</v>
      </c>
      <c r="G80" s="9" t="n">
        <v>280000</v>
      </c>
      <c r="H80" s="9" t="n">
        <v>280000</v>
      </c>
      <c r="I80" s="9" t="n">
        <v>280000</v>
      </c>
      <c r="L80" s="9" t="n">
        <v>280000</v>
      </c>
      <c r="M80" s="9" t="n">
        <v>280000</v>
      </c>
      <c r="N80" s="9" t="n">
        <v>280000</v>
      </c>
      <c r="O80" s="9" t="n">
        <v>280000</v>
      </c>
      <c r="P80" s="9" t="n">
        <v>280000</v>
      </c>
      <c r="Q80" s="9" t="n">
        <v>280000</v>
      </c>
      <c r="R80" s="9" t="n">
        <v>3360000</v>
      </c>
    </row>
    <row r="81">
      <c r="A81" t="inlineStr">
        <is>
          <t>Farm Hands</t>
        </is>
      </c>
      <c r="B81" s="9" t="n">
        <v>70000</v>
      </c>
      <c r="C81" s="9" t="n">
        <v>4</v>
      </c>
      <c r="D81" s="9" t="n">
        <v>280000</v>
      </c>
      <c r="E81" s="9" t="n">
        <v>280000</v>
      </c>
      <c r="F81" s="9" t="n">
        <v>280000</v>
      </c>
      <c r="G81" s="9" t="n">
        <v>280000</v>
      </c>
      <c r="H81" s="9" t="n">
        <v>280000</v>
      </c>
      <c r="I81" s="9" t="n">
        <v>280000</v>
      </c>
      <c r="L81" s="9" t="n">
        <v>280000</v>
      </c>
      <c r="M81" s="9" t="n">
        <v>280000</v>
      </c>
      <c r="N81" s="9" t="n">
        <v>280000</v>
      </c>
      <c r="O81" s="9" t="n">
        <v>280000</v>
      </c>
      <c r="P81" s="9" t="n">
        <v>280000</v>
      </c>
      <c r="Q81" s="9" t="n">
        <v>280000</v>
      </c>
      <c r="R81" s="9" t="n">
        <v>3360000</v>
      </c>
    </row>
    <row r="82">
      <c r="D82" s="9" t="n">
        <v>855000</v>
      </c>
      <c r="E82" s="9" t="n">
        <v>855000</v>
      </c>
      <c r="F82" s="9" t="n">
        <v>855000</v>
      </c>
      <c r="G82" s="9" t="n">
        <v>930000</v>
      </c>
      <c r="H82" s="9" t="n">
        <v>930000</v>
      </c>
      <c r="I82" s="9" t="n">
        <v>930000</v>
      </c>
      <c r="L82" s="9" t="n">
        <v>930000</v>
      </c>
      <c r="M82" s="9" t="n">
        <v>930000</v>
      </c>
      <c r="N82" s="9" t="n">
        <v>930000</v>
      </c>
      <c r="O82" s="9" t="n">
        <v>930000</v>
      </c>
      <c r="P82" s="9" t="n">
        <v>930000</v>
      </c>
      <c r="Q82" s="9" t="n">
        <v>930000</v>
      </c>
      <c r="R82" s="9" t="n">
        <v>10935000</v>
      </c>
    </row>
    <row r="83">
      <c r="B83" t="inlineStr">
        <is>
          <t>BasePayroll100</t>
        </is>
      </c>
      <c r="C83" s="9" t="n">
        <v>10935000</v>
      </c>
    </row>
    <row r="84">
      <c r="A84" s="1" t="inlineStr">
        <is>
          <t>Utilities</t>
        </is>
      </c>
      <c r="B84" s="1" t="inlineStr">
        <is>
          <t>Pay</t>
        </is>
      </c>
      <c r="C84" s="1" t="inlineStr">
        <is>
          <t>Number</t>
        </is>
      </c>
      <c r="D84" s="1" t="inlineStr">
        <is>
          <t>Month 1</t>
        </is>
      </c>
      <c r="E84" s="1" t="inlineStr">
        <is>
          <t>Month 2</t>
        </is>
      </c>
      <c r="F84" s="1" t="inlineStr">
        <is>
          <t>Month 3</t>
        </is>
      </c>
      <c r="G84" s="1" t="inlineStr">
        <is>
          <t>Month 4</t>
        </is>
      </c>
      <c r="H84" s="1" t="inlineStr">
        <is>
          <t>Month 5</t>
        </is>
      </c>
      <c r="I84" s="1" t="inlineStr">
        <is>
          <t>Month 6</t>
        </is>
      </c>
      <c r="J84" s="1" t="n"/>
      <c r="K84" s="1" t="n"/>
      <c r="L84" s="1" t="inlineStr">
        <is>
          <t>Month 7</t>
        </is>
      </c>
      <c r="M84" s="1" t="inlineStr">
        <is>
          <t>Month 8</t>
        </is>
      </c>
      <c r="N84" s="1" t="inlineStr">
        <is>
          <t>Month 9</t>
        </is>
      </c>
      <c r="O84" s="1" t="inlineStr">
        <is>
          <t>Month 10</t>
        </is>
      </c>
      <c r="P84" s="1" t="inlineStr">
        <is>
          <t>Month 11</t>
        </is>
      </c>
      <c r="Q84" s="1" t="inlineStr">
        <is>
          <t>Month 12</t>
        </is>
      </c>
      <c r="R84" s="1" t="inlineStr">
        <is>
          <t>Total</t>
        </is>
      </c>
    </row>
    <row r="85">
      <c r="A85" t="inlineStr">
        <is>
          <t>Petrol</t>
        </is>
      </c>
      <c r="B85" s="9" t="n">
        <v>1500</v>
      </c>
      <c r="C85" s="9" t="n">
        <v>240</v>
      </c>
      <c r="D85" s="9" t="n">
        <v>360000</v>
      </c>
      <c r="E85" s="9" t="n">
        <v>360000</v>
      </c>
      <c r="F85" s="9" t="n">
        <v>360000</v>
      </c>
      <c r="G85" s="9" t="n">
        <v>360000</v>
      </c>
      <c r="H85" s="9" t="n">
        <v>360000</v>
      </c>
      <c r="I85" s="9" t="n">
        <v>360000</v>
      </c>
      <c r="L85" s="9" t="n">
        <v>360000</v>
      </c>
      <c r="M85" s="9" t="n">
        <v>360000</v>
      </c>
      <c r="N85" s="9" t="n">
        <v>360000</v>
      </c>
      <c r="O85" s="9" t="n">
        <v>360000</v>
      </c>
      <c r="P85" s="9" t="n">
        <v>360000</v>
      </c>
      <c r="Q85" s="9" t="n">
        <v>360000</v>
      </c>
      <c r="R85" s="9" t="n">
        <v>4320000</v>
      </c>
    </row>
    <row r="86">
      <c r="A86" t="inlineStr">
        <is>
          <t>Fuel (diesel)</t>
        </is>
      </c>
      <c r="B86" s="9" t="n">
        <v>2000</v>
      </c>
      <c r="C86" s="9" t="n">
        <v>120</v>
      </c>
      <c r="E86" s="9" t="n">
        <v>240000</v>
      </c>
      <c r="F86" s="9" t="n">
        <v>240000</v>
      </c>
      <c r="G86" s="9" t="n">
        <v>240000</v>
      </c>
      <c r="H86" s="9" t="n">
        <v>240000</v>
      </c>
      <c r="I86" s="9" t="n">
        <v>240000</v>
      </c>
      <c r="L86" s="9" t="n">
        <v>240000</v>
      </c>
      <c r="M86" s="9" t="n">
        <v>240000</v>
      </c>
      <c r="N86" s="9" t="n">
        <v>240000</v>
      </c>
      <c r="O86" s="9" t="n">
        <v>240000</v>
      </c>
      <c r="P86" s="9" t="n">
        <v>240000</v>
      </c>
      <c r="Q86" s="9" t="n">
        <v>240000</v>
      </c>
      <c r="R86" s="9" t="n">
        <v>2640000</v>
      </c>
    </row>
    <row r="87">
      <c r="D87" s="9" t="n">
        <v>360000</v>
      </c>
      <c r="E87" s="9" t="n">
        <v>600000</v>
      </c>
      <c r="F87" s="9" t="n">
        <v>600000</v>
      </c>
      <c r="G87" s="9" t="n">
        <v>600000</v>
      </c>
      <c r="H87" s="9" t="n">
        <v>600000</v>
      </c>
      <c r="I87" s="9" t="n">
        <v>600000</v>
      </c>
      <c r="L87" s="9" t="n">
        <v>600000</v>
      </c>
      <c r="M87" s="9" t="n">
        <v>600000</v>
      </c>
      <c r="N87" s="9" t="n">
        <v>600000</v>
      </c>
      <c r="O87" s="9" t="n">
        <v>600000</v>
      </c>
      <c r="P87" s="9" t="n">
        <v>600000</v>
      </c>
      <c r="Q87" s="9" t="n">
        <v>600000</v>
      </c>
      <c r="R87" s="9" t="n">
        <v>6960000</v>
      </c>
    </row>
    <row r="88">
      <c r="A88" s="1" t="inlineStr">
        <is>
          <t>Administration</t>
        </is>
      </c>
      <c r="B88" s="1" t="inlineStr">
        <is>
          <t>Pay</t>
        </is>
      </c>
      <c r="C88" s="1" t="inlineStr">
        <is>
          <t>Number</t>
        </is>
      </c>
      <c r="D88" s="1" t="inlineStr">
        <is>
          <t>Month 1</t>
        </is>
      </c>
      <c r="E88" s="1" t="inlineStr">
        <is>
          <t>Month 2</t>
        </is>
      </c>
      <c r="F88" s="1" t="inlineStr">
        <is>
          <t>Month 3</t>
        </is>
      </c>
      <c r="G88" s="1" t="inlineStr">
        <is>
          <t>Month 4</t>
        </is>
      </c>
      <c r="H88" s="1" t="inlineStr">
        <is>
          <t>Month 5</t>
        </is>
      </c>
      <c r="I88" s="1" t="inlineStr">
        <is>
          <t>Month 6</t>
        </is>
      </c>
      <c r="J88" s="1" t="n"/>
      <c r="K88" s="1" t="n"/>
      <c r="L88" s="1" t="inlineStr">
        <is>
          <t>Month 7</t>
        </is>
      </c>
      <c r="M88" s="1" t="inlineStr">
        <is>
          <t>Month 8</t>
        </is>
      </c>
      <c r="N88" s="1" t="inlineStr">
        <is>
          <t>Month 9</t>
        </is>
      </c>
      <c r="O88" s="1" t="inlineStr">
        <is>
          <t>Month 10</t>
        </is>
      </c>
      <c r="P88" s="1" t="inlineStr">
        <is>
          <t>Month 11</t>
        </is>
      </c>
      <c r="Q88" s="1" t="inlineStr">
        <is>
          <t>Month 12</t>
        </is>
      </c>
      <c r="R88" s="1" t="inlineStr">
        <is>
          <t>Total</t>
        </is>
      </c>
    </row>
    <row r="89">
      <c r="A89" t="inlineStr">
        <is>
          <t>Print &amp; Post</t>
        </is>
      </c>
      <c r="B89" s="9" t="n">
        <v>1000</v>
      </c>
      <c r="C89" s="9" t="n">
        <v>500</v>
      </c>
      <c r="D89" s="9" t="n">
        <v>10000</v>
      </c>
      <c r="E89" s="9" t="n">
        <v>10000</v>
      </c>
      <c r="F89" s="9" t="n">
        <v>10000</v>
      </c>
      <c r="G89" s="9" t="n">
        <v>10000</v>
      </c>
      <c r="H89" s="9" t="n">
        <v>10000</v>
      </c>
      <c r="I89" s="9" t="n">
        <v>10000</v>
      </c>
      <c r="L89" s="9" t="n">
        <v>10000</v>
      </c>
      <c r="M89" s="9" t="n">
        <v>10000</v>
      </c>
      <c r="N89" s="9" t="n">
        <v>10000</v>
      </c>
      <c r="O89" s="9" t="n">
        <v>10000</v>
      </c>
      <c r="P89" s="9" t="n">
        <v>10000</v>
      </c>
      <c r="Q89" s="9" t="n">
        <v>10000</v>
      </c>
      <c r="R89" s="9" t="n">
        <v>120000</v>
      </c>
    </row>
    <row r="90">
      <c r="R90" s="9" t="n">
        <v>0</v>
      </c>
    </row>
    <row r="91">
      <c r="A91" s="1" t="inlineStr">
        <is>
          <t>Repairs</t>
        </is>
      </c>
      <c r="B91" s="1" t="inlineStr">
        <is>
          <t>Pay</t>
        </is>
      </c>
      <c r="C91" s="1" t="inlineStr">
        <is>
          <t>Number</t>
        </is>
      </c>
      <c r="D91" s="1" t="inlineStr">
        <is>
          <t>Month 1</t>
        </is>
      </c>
      <c r="E91" s="1" t="inlineStr">
        <is>
          <t>Month 2</t>
        </is>
      </c>
      <c r="F91" s="1" t="inlineStr">
        <is>
          <t>Month 3</t>
        </is>
      </c>
      <c r="G91" s="1" t="inlineStr">
        <is>
          <t>Month 4</t>
        </is>
      </c>
      <c r="H91" s="1" t="inlineStr">
        <is>
          <t>Month 5</t>
        </is>
      </c>
      <c r="I91" s="1" t="inlineStr">
        <is>
          <t>Month 6</t>
        </is>
      </c>
      <c r="J91" s="1" t="n"/>
      <c r="K91" s="1" t="n"/>
      <c r="L91" s="1" t="inlineStr">
        <is>
          <t>Month 7</t>
        </is>
      </c>
      <c r="M91" s="1" t="inlineStr">
        <is>
          <t>Month 8</t>
        </is>
      </c>
      <c r="N91" s="1" t="inlineStr">
        <is>
          <t>Month 9</t>
        </is>
      </c>
      <c r="O91" s="1" t="inlineStr">
        <is>
          <t>Month 10</t>
        </is>
      </c>
      <c r="P91" s="1" t="inlineStr">
        <is>
          <t>Month 11</t>
        </is>
      </c>
      <c r="Q91" s="1" t="inlineStr">
        <is>
          <t>Month 12</t>
        </is>
      </c>
      <c r="R91" s="1" t="inlineStr">
        <is>
          <t>Total</t>
        </is>
      </c>
    </row>
    <row r="92">
      <c r="A92" t="inlineStr">
        <is>
          <t>Repairs &amp; Maint</t>
        </is>
      </c>
      <c r="B92" s="9" t="n">
        <v>1000</v>
      </c>
      <c r="C92" s="9" t="n">
        <v>500</v>
      </c>
      <c r="L92" s="9" t="n">
        <v>16666.66666666667</v>
      </c>
      <c r="M92" s="9" t="n">
        <v>16666.66666666667</v>
      </c>
      <c r="N92" s="9" t="n">
        <v>16666.66666666667</v>
      </c>
      <c r="O92" s="9" t="n">
        <v>16666.66666666667</v>
      </c>
      <c r="P92" s="9" t="n">
        <v>16666.66666666667</v>
      </c>
      <c r="Q92" s="9" t="n">
        <v>16666.66666666667</v>
      </c>
      <c r="R92" s="9" t="n">
        <v>100000</v>
      </c>
    </row>
    <row r="93">
      <c r="A93" s="1" t="inlineStr">
        <is>
          <t>Security</t>
        </is>
      </c>
      <c r="B93" s="1" t="inlineStr">
        <is>
          <t>Cost</t>
        </is>
      </c>
      <c r="C93" s="1" t="inlineStr">
        <is>
          <t>Number</t>
        </is>
      </c>
      <c r="D93" s="1" t="inlineStr">
        <is>
          <t>Month 1</t>
        </is>
      </c>
      <c r="E93" s="1" t="inlineStr">
        <is>
          <t>Month 2</t>
        </is>
      </c>
      <c r="F93" s="1" t="inlineStr">
        <is>
          <t>Month 3</t>
        </is>
      </c>
      <c r="G93" s="1" t="inlineStr">
        <is>
          <t>Month 4</t>
        </is>
      </c>
      <c r="H93" s="1" t="inlineStr">
        <is>
          <t>Month 5</t>
        </is>
      </c>
      <c r="I93" s="1" t="inlineStr">
        <is>
          <t>Month 6</t>
        </is>
      </c>
      <c r="J93" s="1" t="n"/>
      <c r="K93" s="1" t="n"/>
      <c r="L93" s="1" t="inlineStr">
        <is>
          <t>Month 7</t>
        </is>
      </c>
      <c r="M93" s="1" t="inlineStr">
        <is>
          <t>Month 8</t>
        </is>
      </c>
      <c r="N93" s="1" t="inlineStr">
        <is>
          <t>Month 9</t>
        </is>
      </c>
      <c r="O93" s="1" t="inlineStr">
        <is>
          <t>Month 10</t>
        </is>
      </c>
      <c r="P93" s="1" t="inlineStr">
        <is>
          <t>Month 11</t>
        </is>
      </c>
      <c r="Q93" s="1" t="inlineStr">
        <is>
          <t>Month 12</t>
        </is>
      </c>
      <c r="R93" s="1" t="inlineStr">
        <is>
          <t>Total</t>
        </is>
      </c>
    </row>
    <row r="94">
      <c r="A94" t="inlineStr">
        <is>
          <t>Armed Security</t>
        </is>
      </c>
      <c r="B94" s="9" t="n">
        <v>80000</v>
      </c>
      <c r="C94" s="9" t="n">
        <v>2</v>
      </c>
      <c r="D94" s="9" t="n">
        <v>80000</v>
      </c>
      <c r="E94" s="9" t="n">
        <v>80000</v>
      </c>
      <c r="F94" s="9" t="n">
        <v>80000</v>
      </c>
      <c r="G94" s="9" t="n">
        <v>80000</v>
      </c>
      <c r="H94" s="9" t="n">
        <v>80000</v>
      </c>
      <c r="I94" s="9" t="n">
        <v>80000</v>
      </c>
      <c r="L94" s="9" t="n">
        <v>160000</v>
      </c>
      <c r="M94" s="9" t="n">
        <v>160000</v>
      </c>
      <c r="N94" s="9" t="n">
        <v>160000</v>
      </c>
      <c r="O94" s="9" t="n">
        <v>160000</v>
      </c>
      <c r="P94" s="9" t="n">
        <v>160000</v>
      </c>
      <c r="Q94" s="9" t="n">
        <v>160000</v>
      </c>
      <c r="R94" s="9" t="n">
        <v>1440000</v>
      </c>
    </row>
    <row r="95">
      <c r="A95" s="1" t="inlineStr">
        <is>
          <t>Security</t>
        </is>
      </c>
      <c r="B95" s="1" t="n">
        <v>70000</v>
      </c>
      <c r="C95" s="1" t="n">
        <v>2</v>
      </c>
      <c r="D95" s="1" t="n">
        <v>70000</v>
      </c>
      <c r="E95" s="1" t="n">
        <v>70000</v>
      </c>
      <c r="F95" s="1" t="n">
        <v>70000</v>
      </c>
      <c r="G95" s="1" t="n">
        <v>140000</v>
      </c>
      <c r="H95" s="1" t="n">
        <v>140000</v>
      </c>
      <c r="I95" s="1" t="n">
        <v>140000</v>
      </c>
      <c r="J95" s="1" t="n"/>
      <c r="K95" s="1" t="n"/>
      <c r="L95" s="1" t="n">
        <v>140000</v>
      </c>
      <c r="M95" s="1" t="n">
        <v>140000</v>
      </c>
      <c r="N95" s="1" t="n">
        <v>140000</v>
      </c>
      <c r="O95" s="1" t="n">
        <v>140000</v>
      </c>
      <c r="P95" s="1" t="n">
        <v>140000</v>
      </c>
      <c r="Q95" s="1" t="n">
        <v>140000</v>
      </c>
      <c r="R95" s="1" t="n">
        <v>1470000</v>
      </c>
    </row>
    <row r="96">
      <c r="D96" s="9" t="n">
        <v>150000</v>
      </c>
      <c r="E96" s="9" t="n">
        <v>150000</v>
      </c>
      <c r="F96" s="9" t="n">
        <v>150000</v>
      </c>
      <c r="G96" s="9" t="n">
        <v>220000</v>
      </c>
      <c r="H96" s="9" t="n">
        <v>220000</v>
      </c>
      <c r="I96" s="9" t="n">
        <v>220000</v>
      </c>
      <c r="L96" s="9" t="n">
        <v>300000</v>
      </c>
      <c r="M96" s="9" t="n">
        <v>300000</v>
      </c>
      <c r="N96" s="9" t="n">
        <v>300000</v>
      </c>
      <c r="O96" s="9" t="n">
        <v>300000</v>
      </c>
      <c r="P96" s="9" t="n">
        <v>300000</v>
      </c>
      <c r="Q96" s="9" t="n">
        <v>300000</v>
      </c>
      <c r="R96" s="9" t="n">
        <v>2910000</v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K47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3">
      <c r="A3" s="1" t="inlineStr">
        <is>
          <t>Input</t>
        </is>
      </c>
      <c r="B3" s="1" t="inlineStr">
        <is>
          <t>Value</t>
        </is>
      </c>
      <c r="C3" s="1" t="inlineStr">
        <is>
          <t>Comment</t>
        </is>
      </c>
    </row>
    <row r="4">
      <c r="A4" s="2" t="inlineStr">
        <is>
          <t>ModelYears</t>
        </is>
      </c>
      <c r="B4" s="8" t="n">
        <v>10</v>
      </c>
      <c r="C4" s="6" t="inlineStr"/>
    </row>
    <row r="5">
      <c r="A5" s="2" t="inlineStr">
        <is>
          <t>Phase1Debt</t>
        </is>
      </c>
      <c r="B5" s="9" t="n">
        <v>275000000</v>
      </c>
      <c r="C5" s="6" t="inlineStr"/>
    </row>
    <row r="6">
      <c r="A6" s="2" t="inlineStr">
        <is>
          <t>LoanRate</t>
        </is>
      </c>
      <c r="B6" s="10" t="n">
        <v>0.13</v>
      </c>
      <c r="C6" s="6" t="inlineStr"/>
    </row>
    <row r="7">
      <c r="A7" s="2" t="inlineStr">
        <is>
          <t>TenorYears</t>
        </is>
      </c>
      <c r="B7" s="8" t="n">
        <v>7</v>
      </c>
      <c r="C7" s="6" t="inlineStr"/>
    </row>
    <row r="8">
      <c r="A8" s="2" t="inlineStr">
        <is>
          <t>MoratoriumYears</t>
        </is>
      </c>
      <c r="B8" s="8" t="n">
        <v>2</v>
      </c>
      <c r="C8" s="6" t="inlineStr"/>
    </row>
    <row r="9">
      <c r="A9" s="2" t="inlineStr">
        <is>
          <t>TaxRate</t>
        </is>
      </c>
      <c r="B9" s="10" t="n">
        <v>0.34</v>
      </c>
      <c r="C9" s="6" t="inlineStr"/>
    </row>
    <row r="10">
      <c r="A10" s="2" t="inlineStr">
        <is>
          <t>SponsorEquity_Land_120_Acres</t>
        </is>
      </c>
      <c r="B10" s="9" t="n">
        <v>60000000</v>
      </c>
      <c r="C10" s="6" t="inlineStr">
        <is>
          <t>Non-cash equity</t>
        </is>
      </c>
    </row>
    <row r="11">
      <c r="A11" s="2" t="inlineStr">
        <is>
          <t>SponsorEquityYr1_Cash</t>
        </is>
      </c>
      <c r="B11" s="8" t="n">
        <v>0</v>
      </c>
      <c r="C11" s="6" t="inlineStr"/>
    </row>
    <row r="12">
      <c r="A12" s="2" t="inlineStr">
        <is>
          <t>SponsorEquityYr2_Cash</t>
        </is>
      </c>
      <c r="B12" s="8" t="n">
        <v>0</v>
      </c>
      <c r="C12" s="6" t="inlineStr"/>
    </row>
    <row r="13">
      <c r="A13" s="2" t="inlineStr">
        <is>
          <t>AR_Days</t>
        </is>
      </c>
      <c r="B13" s="8" t="n">
        <v>30</v>
      </c>
      <c r="C13" s="6" t="inlineStr"/>
    </row>
    <row r="14">
      <c r="A14" s="2" t="inlineStr">
        <is>
          <t>Inv_Days</t>
        </is>
      </c>
      <c r="B14" s="8" t="n">
        <v>45</v>
      </c>
      <c r="C14" s="6" t="inlineStr"/>
    </row>
    <row r="15">
      <c r="A15" s="2" t="inlineStr">
        <is>
          <t>AP_Days</t>
        </is>
      </c>
      <c r="B15" s="8" t="n">
        <v>60</v>
      </c>
      <c r="C15" s="6" t="inlineStr"/>
    </row>
    <row r="16">
      <c r="A16" s="2" t="inlineStr">
        <is>
          <t>MinDSCR</t>
        </is>
      </c>
      <c r="B16" s="10" t="n">
        <v>1.2</v>
      </c>
      <c r="C16" s="6" t="inlineStr"/>
    </row>
    <row r="17">
      <c r="A17" s="2" t="inlineStr">
        <is>
          <t>InitialCows</t>
        </is>
      </c>
      <c r="B17" s="8" t="n">
        <v>80</v>
      </c>
      <c r="C17" s="6" t="inlineStr"/>
    </row>
    <row r="18">
      <c r="A18" s="2" t="inlineStr">
        <is>
          <t>CalfSurvival</t>
        </is>
      </c>
      <c r="B18" s="10" t="n">
        <v>0.95</v>
      </c>
      <c r="C18" s="6" t="inlineStr"/>
    </row>
    <row r="19">
      <c r="A19" s="2" t="inlineStr">
        <is>
          <t>FemaleRatio</t>
        </is>
      </c>
      <c r="B19" s="10" t="n">
        <v>0.5</v>
      </c>
      <c r="C19" s="6" t="inlineStr"/>
    </row>
    <row r="20">
      <c r="A20" s="2" t="inlineStr">
        <is>
          <t>MaleSellRate</t>
        </is>
      </c>
      <c r="B20" s="10" t="n">
        <v>0.95</v>
      </c>
      <c r="C20" s="6" t="inlineStr"/>
    </row>
    <row r="21">
      <c r="A21" s="2" t="inlineStr">
        <is>
          <t>MaleSellStartYear</t>
        </is>
      </c>
      <c r="B21" s="8" t="n">
        <v>2</v>
      </c>
      <c r="C21" s="6" t="inlineStr"/>
    </row>
    <row r="22">
      <c r="A22" s="2" t="inlineStr">
        <is>
          <t>CowCullY6Y7</t>
        </is>
      </c>
      <c r="B22" s="10" t="n">
        <v>0.5</v>
      </c>
      <c r="C22" s="6" t="inlineStr"/>
    </row>
    <row r="23">
      <c r="A23" s="2" t="inlineStr">
        <is>
          <t>CowCullY8Plus</t>
        </is>
      </c>
      <c r="B23" s="10" t="n">
        <v>0.3</v>
      </c>
      <c r="C23" s="6" t="inlineStr"/>
    </row>
    <row r="24">
      <c r="A24" s="2" t="inlineStr">
        <is>
          <t>LactationRate</t>
        </is>
      </c>
      <c r="B24" s="10" t="n">
        <v>0.85</v>
      </c>
      <c r="C24" s="6" t="inlineStr"/>
    </row>
    <row r="25">
      <c r="A25" s="2" t="inlineStr">
        <is>
          <t>MilkingDays</t>
        </is>
      </c>
      <c r="B25" s="8" t="n">
        <v>305</v>
      </c>
      <c r="C25" s="6" t="inlineStr"/>
    </row>
    <row r="26">
      <c r="A26" s="2" t="inlineStr">
        <is>
          <t>ManureBagsPerCow</t>
        </is>
      </c>
      <c r="B26" s="8" t="n">
        <v>182</v>
      </c>
      <c r="C26" s="6" t="inlineStr"/>
    </row>
    <row r="27">
      <c r="A27" s="2" t="inlineStr">
        <is>
          <t>CarcassCow_kg</t>
        </is>
      </c>
      <c r="B27" s="8" t="n">
        <v>250</v>
      </c>
      <c r="C27" s="6" t="inlineStr"/>
    </row>
    <row r="28">
      <c r="A28" s="2" t="inlineStr">
        <is>
          <t>CarcassYoungMale_kg</t>
        </is>
      </c>
      <c r="B28" s="8" t="n">
        <v>200</v>
      </c>
      <c r="C28" s="6" t="inlineStr"/>
    </row>
    <row r="29">
      <c r="A29" s="2" t="inlineStr">
        <is>
          <t>AcrePrice_NGN</t>
        </is>
      </c>
      <c r="B29" s="9" t="n">
        <v>500000</v>
      </c>
      <c r="C29" s="6" t="inlineStr"/>
    </row>
    <row r="30">
      <c r="A30" s="2" t="inlineStr">
        <is>
          <t>TotalNoAcres</t>
        </is>
      </c>
      <c r="B30" s="8" t="n">
        <v>120</v>
      </c>
      <c r="C30" s="6" t="inlineStr"/>
    </row>
    <row r="31">
      <c r="A31" s="2" t="inlineStr">
        <is>
          <t>CropYield_NGN_Per_Acre</t>
        </is>
      </c>
      <c r="B31" s="9" t="n">
        <v>1500000</v>
      </c>
      <c r="C31" s="6" t="inlineStr"/>
    </row>
    <row r="32">
      <c r="A32" s="2" t="inlineStr">
        <is>
          <t>Year1WetDayFactor</t>
        </is>
      </c>
      <c r="B32" s="8" t="n">
        <v>0</v>
      </c>
      <c r="C32" s="6" t="inlineStr"/>
    </row>
    <row r="33">
      <c r="A33" s="2" t="inlineStr">
        <is>
          <t>Year2WetDayFactor</t>
        </is>
      </c>
      <c r="B33" s="10" t="n">
        <v>0.5</v>
      </c>
      <c r="C33" s="6" t="inlineStr"/>
    </row>
    <row r="37">
      <c r="A37" s="1" t="inlineStr">
        <is>
          <t>Annual Operating Assumptions</t>
        </is>
      </c>
    </row>
    <row r="38">
      <c r="A38" s="1" t="inlineStr">
        <is>
          <t>Year</t>
        </is>
      </c>
      <c r="B38" s="1" t="n">
        <v>1</v>
      </c>
      <c r="C38" s="1" t="n">
        <v>2</v>
      </c>
      <c r="D38" s="1" t="n">
        <v>3</v>
      </c>
      <c r="E38" s="1" t="n">
        <v>4</v>
      </c>
      <c r="F38" s="1" t="n">
        <v>5</v>
      </c>
      <c r="G38" s="1" t="n">
        <v>6</v>
      </c>
      <c r="H38" s="1" t="n">
        <v>7</v>
      </c>
      <c r="I38" s="1" t="n">
        <v>8</v>
      </c>
      <c r="J38" s="1" t="n">
        <v>9</v>
      </c>
      <c r="K38" s="1" t="n">
        <v>10</v>
      </c>
    </row>
    <row r="39">
      <c r="A39" s="2" t="inlineStr">
        <is>
          <t>Milk_Yield_L_Day_Cow</t>
        </is>
      </c>
      <c r="B39" s="8" t="n">
        <v>0</v>
      </c>
      <c r="C39" s="8" t="n">
        <v>6</v>
      </c>
      <c r="D39" s="8" t="n">
        <v>6</v>
      </c>
      <c r="E39" s="8" t="n">
        <v>9</v>
      </c>
      <c r="F39" s="8" t="n">
        <v>12</v>
      </c>
      <c r="G39" s="8" t="n">
        <v>14</v>
      </c>
      <c r="H39" s="8" t="n">
        <v>16</v>
      </c>
      <c r="I39" s="8" t="n">
        <v>18</v>
      </c>
      <c r="J39" s="8" t="n">
        <v>19</v>
      </c>
      <c r="K39" s="8" t="n">
        <v>20</v>
      </c>
    </row>
    <row r="40">
      <c r="A40" s="2" t="inlineStr">
        <is>
          <t>Milk_Price_NGN_L</t>
        </is>
      </c>
      <c r="B40" s="9" t="n">
        <v>1000</v>
      </c>
      <c r="C40" s="9" t="n">
        <v>1200</v>
      </c>
      <c r="D40" s="9" t="n">
        <v>1200</v>
      </c>
      <c r="E40" s="9" t="n">
        <v>1500</v>
      </c>
      <c r="F40" s="9" t="n">
        <v>1500</v>
      </c>
      <c r="G40" s="9" t="n">
        <v>3000</v>
      </c>
      <c r="H40" s="9" t="n">
        <v>3000</v>
      </c>
      <c r="I40" s="9" t="n">
        <v>3000</v>
      </c>
      <c r="J40" s="9" t="n">
        <v>3000</v>
      </c>
      <c r="K40" s="9" t="n">
        <v>3000</v>
      </c>
    </row>
    <row r="41">
      <c r="A41" s="2" t="inlineStr">
        <is>
          <t>Beef_Price_NGN_Kg</t>
        </is>
      </c>
      <c r="B41" s="9" t="n">
        <v>6800</v>
      </c>
      <c r="C41" s="9" t="n">
        <v>6800</v>
      </c>
      <c r="D41" s="9" t="n">
        <v>6800</v>
      </c>
      <c r="E41" s="9" t="n">
        <v>7200</v>
      </c>
      <c r="F41" s="9" t="n">
        <v>8200</v>
      </c>
      <c r="G41" s="9" t="n">
        <v>9400</v>
      </c>
      <c r="H41" s="9" t="n">
        <v>9400</v>
      </c>
      <c r="I41" s="9" t="n">
        <v>9400</v>
      </c>
      <c r="J41" s="9" t="n">
        <v>9400</v>
      </c>
      <c r="K41" s="9" t="n">
        <v>9400</v>
      </c>
    </row>
    <row r="42">
      <c r="A42" s="2" t="inlineStr">
        <is>
          <t>Manure_Price_NGN_Bag</t>
        </is>
      </c>
      <c r="B42" s="9" t="n">
        <v>50</v>
      </c>
      <c r="C42" s="9" t="n">
        <v>50</v>
      </c>
      <c r="D42" s="9" t="n">
        <v>50</v>
      </c>
      <c r="E42" s="9" t="n">
        <v>50</v>
      </c>
      <c r="F42" s="9" t="n">
        <v>50</v>
      </c>
      <c r="G42" s="9" t="n">
        <v>50</v>
      </c>
      <c r="H42" s="9" t="n">
        <v>50</v>
      </c>
      <c r="I42" s="9" t="n">
        <v>50</v>
      </c>
      <c r="J42" s="9" t="n">
        <v>50</v>
      </c>
      <c r="K42" s="9" t="n">
        <v>50</v>
      </c>
    </row>
    <row r="43">
      <c r="A43" s="2" t="inlineStr">
        <is>
          <t>Crop_Acres</t>
        </is>
      </c>
      <c r="B43" s="8" t="n">
        <v>38.5</v>
      </c>
      <c r="C43" s="8" t="n">
        <v>29.5</v>
      </c>
      <c r="D43" s="8" t="n">
        <v>23.5</v>
      </c>
      <c r="E43" s="8" t="n">
        <v>17.5</v>
      </c>
      <c r="F43" s="8" t="n">
        <v>11.5</v>
      </c>
      <c r="G43" s="8" t="n">
        <v>5.5</v>
      </c>
      <c r="H43" s="8" t="n">
        <v>0</v>
      </c>
      <c r="I43" s="8" t="n">
        <v>0</v>
      </c>
      <c r="J43" s="8" t="n">
        <v>0</v>
      </c>
      <c r="K43" s="8" t="n">
        <v>0</v>
      </c>
    </row>
    <row r="44">
      <c r="A44" s="2" t="inlineStr">
        <is>
          <t>Crop_Yield_NGN_Acre</t>
        </is>
      </c>
      <c r="B44" s="9" t="n">
        <v>1500000</v>
      </c>
      <c r="C44" s="9" t="n">
        <v>1500000</v>
      </c>
      <c r="D44" s="9" t="n">
        <v>1500000</v>
      </c>
      <c r="E44" s="9" t="n">
        <v>1500000</v>
      </c>
      <c r="F44" s="9" t="n">
        <v>1500000</v>
      </c>
      <c r="G44" s="9" t="n">
        <v>1500000</v>
      </c>
      <c r="H44" s="9" t="n">
        <v>0</v>
      </c>
      <c r="I44" s="9" t="n">
        <v>0</v>
      </c>
      <c r="J44" s="9" t="n">
        <v>0</v>
      </c>
      <c r="K44" s="9" t="n">
        <v>0</v>
      </c>
    </row>
    <row r="45">
      <c r="A45" s="2" t="inlineStr">
        <is>
          <t>Milking_Cows_Base</t>
        </is>
      </c>
      <c r="B45" s="8" t="n">
        <v>0</v>
      </c>
      <c r="C45" s="8" t="n">
        <v>68</v>
      </c>
      <c r="D45" s="8" t="n">
        <v>68</v>
      </c>
      <c r="E45" s="8" t="n">
        <v>100.3001821493625</v>
      </c>
      <c r="F45" s="8" t="n">
        <v>132.6</v>
      </c>
      <c r="G45" s="8" t="n">
        <v>180.2</v>
      </c>
      <c r="H45" s="8" t="n">
        <v>243.1850409836066</v>
      </c>
      <c r="I45" s="8" t="n">
        <v>254.9978142076503</v>
      </c>
      <c r="J45" s="8" t="n">
        <v>254.9107851596204</v>
      </c>
      <c r="K45" s="8" t="n">
        <v>254.9096721311475</v>
      </c>
    </row>
    <row r="46">
      <c r="A46" s="2" t="inlineStr">
        <is>
          <t>Beef_Kg_Base</t>
        </is>
      </c>
      <c r="B46" s="9" t="n">
        <v>0</v>
      </c>
      <c r="C46" s="9" t="n">
        <v>0</v>
      </c>
      <c r="D46" s="9" t="n">
        <v>0</v>
      </c>
      <c r="E46" s="9" t="n">
        <v>11210</v>
      </c>
      <c r="F46" s="9" t="n">
        <v>14820</v>
      </c>
      <c r="G46" s="9" t="n">
        <v>20140</v>
      </c>
      <c r="H46" s="9" t="n">
        <v>38680</v>
      </c>
      <c r="I46" s="9" t="n">
        <v>43000</v>
      </c>
      <c r="J46" s="9" t="n">
        <v>58990</v>
      </c>
      <c r="K46" s="9" t="n">
        <v>62490</v>
      </c>
    </row>
    <row r="47">
      <c r="A47" s="2" t="inlineStr">
        <is>
          <t>Manure_Bags_Base</t>
        </is>
      </c>
      <c r="B47" s="9" t="n">
        <v>14560</v>
      </c>
      <c r="C47" s="9" t="n">
        <v>18018</v>
      </c>
      <c r="D47" s="9" t="n">
        <v>18018</v>
      </c>
      <c r="E47" s="9" t="n">
        <v>26577</v>
      </c>
      <c r="F47" s="9" t="n">
        <v>35135</v>
      </c>
      <c r="G47" s="9" t="n">
        <v>53390</v>
      </c>
      <c r="H47" s="9" t="n">
        <v>69278</v>
      </c>
      <c r="I47" s="9" t="n">
        <v>89771</v>
      </c>
      <c r="J47" s="9" t="n">
        <v>92296</v>
      </c>
      <c r="K47" s="9" t="n">
        <v>93479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Year</t>
        </is>
      </c>
      <c r="B1" s="1" t="inlineStr">
        <is>
          <t>Cows Opening</t>
        </is>
      </c>
      <c r="C1" s="1" t="inlineStr">
        <is>
          <t>Cows Added from Heifers</t>
        </is>
      </c>
      <c r="D1" s="1" t="inlineStr">
        <is>
          <t>Cows Culled</t>
        </is>
      </c>
      <c r="E1" s="1" t="inlineStr">
        <is>
          <t>Cows End</t>
        </is>
      </c>
      <c r="F1" s="1" t="inlineStr">
        <is>
          <t>Calves Surviving</t>
        </is>
      </c>
      <c r="G1" s="1" t="inlineStr">
        <is>
          <t>Female Calves</t>
        </is>
      </c>
      <c r="H1" s="1" t="inlineStr">
        <is>
          <t>Male Calves</t>
        </is>
      </c>
      <c r="I1" s="1" t="inlineStr">
        <is>
          <t>Male Sold</t>
        </is>
      </c>
    </row>
    <row r="2">
      <c r="A2" s="2" t="n">
        <v>1</v>
      </c>
      <c r="B2" s="8">
        <f>IF(A2=1,ASSUMPTIONS!$B$17,E1)</f>
        <v/>
      </c>
      <c r="C2" s="8">
        <f>0</f>
        <v/>
      </c>
      <c r="D2" s="8">
        <f>IF(A2=6,B2*ASSUMPTIONS!$B$22,IF(A2=7,B2*ASSUMPTIONS!$B$22,IF(A2&gt;=8,B2*ASSUMPTIONS!$B$23,0)))</f>
        <v/>
      </c>
      <c r="E2" s="8">
        <f>MAX(0,B2+C2-D2)</f>
        <v/>
      </c>
      <c r="F2" s="8">
        <f>IF(A2=1,0,E2*ASSUMPTIONS!$B$18)</f>
        <v/>
      </c>
      <c r="G2" s="8">
        <f>F2*ASSUMPTIONS!$B$19</f>
        <v/>
      </c>
      <c r="H2" s="8">
        <f>F2-G2</f>
        <v/>
      </c>
      <c r="I2" s="8">
        <f>IF(A2&gt;=ASSUMPTIONS!$B$21,H2*ASSUMPTIONS!$B$20,0)</f>
        <v/>
      </c>
    </row>
    <row r="3">
      <c r="A3" s="2" t="n">
        <v>2</v>
      </c>
      <c r="B3" s="8">
        <f>IF(A3=1,ASSUMPTIONS!$B$17,E2)</f>
        <v/>
      </c>
      <c r="C3" s="8">
        <f>0</f>
        <v/>
      </c>
      <c r="D3" s="8">
        <f>IF(A3=6,B3*ASSUMPTIONS!$B$22,IF(A3=7,B3*ASSUMPTIONS!$B$22,IF(A3&gt;=8,B3*ASSUMPTIONS!$B$23,0)))</f>
        <v/>
      </c>
      <c r="E3" s="8">
        <f>MAX(0,B3+C3-D3)</f>
        <v/>
      </c>
      <c r="F3" s="8">
        <f>IF(A3=1,0,E3*ASSUMPTIONS!$B$18)</f>
        <v/>
      </c>
      <c r="G3" s="8">
        <f>F3*ASSUMPTIONS!$B$19</f>
        <v/>
      </c>
      <c r="H3" s="8">
        <f>F3-G3</f>
        <v/>
      </c>
      <c r="I3" s="8">
        <f>IF(A3&gt;=ASSUMPTIONS!$B$21,H3*ASSUMPTIONS!$B$20,0)</f>
        <v/>
      </c>
    </row>
    <row r="4">
      <c r="A4" s="2" t="n">
        <v>3</v>
      </c>
      <c r="B4" s="8">
        <f>IF(A4=1,ASSUMPTIONS!$B$17,E3)</f>
        <v/>
      </c>
      <c r="C4" s="8">
        <f>G2</f>
        <v/>
      </c>
      <c r="D4" s="8">
        <f>IF(A4=6,B4*ASSUMPTIONS!$B$22,IF(A4=7,B4*ASSUMPTIONS!$B$22,IF(A4&gt;=8,B4*ASSUMPTIONS!$B$23,0)))</f>
        <v/>
      </c>
      <c r="E4" s="8">
        <f>MAX(0,B4+C4-D4)</f>
        <v/>
      </c>
      <c r="F4" s="8">
        <f>IF(A4=1,0,E4*ASSUMPTIONS!$B$18)</f>
        <v/>
      </c>
      <c r="G4" s="8">
        <f>F4*ASSUMPTIONS!$B$19</f>
        <v/>
      </c>
      <c r="H4" s="8">
        <f>F4-G4</f>
        <v/>
      </c>
      <c r="I4" s="8">
        <f>IF(A4&gt;=ASSUMPTIONS!$B$21,H4*ASSUMPTIONS!$B$20,0)</f>
        <v/>
      </c>
    </row>
    <row r="5">
      <c r="A5" s="2" t="n">
        <v>4</v>
      </c>
      <c r="B5" s="8">
        <f>IF(A5=1,ASSUMPTIONS!$B$17,E4)</f>
        <v/>
      </c>
      <c r="C5" s="8">
        <f>G3</f>
        <v/>
      </c>
      <c r="D5" s="8">
        <f>IF(A5=6,B5*ASSUMPTIONS!$B$22,IF(A5=7,B5*ASSUMPTIONS!$B$22,IF(A5&gt;=8,B5*ASSUMPTIONS!$B$23,0)))</f>
        <v/>
      </c>
      <c r="E5" s="8">
        <f>MAX(0,B5+C5-D5)</f>
        <v/>
      </c>
      <c r="F5" s="8">
        <f>IF(A5=1,0,E5*ASSUMPTIONS!$B$18)</f>
        <v/>
      </c>
      <c r="G5" s="8">
        <f>F5*ASSUMPTIONS!$B$19</f>
        <v/>
      </c>
      <c r="H5" s="8">
        <f>F5-G5</f>
        <v/>
      </c>
      <c r="I5" s="8">
        <f>IF(A5&gt;=ASSUMPTIONS!$B$21,H5*ASSUMPTIONS!$B$20,0)</f>
        <v/>
      </c>
    </row>
    <row r="6">
      <c r="A6" s="2" t="n">
        <v>5</v>
      </c>
      <c r="B6" s="8">
        <f>IF(A6=1,ASSUMPTIONS!$B$17,E5)</f>
        <v/>
      </c>
      <c r="C6" s="8">
        <f>G4</f>
        <v/>
      </c>
      <c r="D6" s="8">
        <f>IF(A6=6,B6*ASSUMPTIONS!$B$22,IF(A6=7,B6*ASSUMPTIONS!$B$22,IF(A6&gt;=8,B6*ASSUMPTIONS!$B$23,0)))</f>
        <v/>
      </c>
      <c r="E6" s="8">
        <f>MAX(0,B6+C6-D6)</f>
        <v/>
      </c>
      <c r="F6" s="8">
        <f>IF(A6=1,0,E6*ASSUMPTIONS!$B$18)</f>
        <v/>
      </c>
      <c r="G6" s="8">
        <f>F6*ASSUMPTIONS!$B$19</f>
        <v/>
      </c>
      <c r="H6" s="8">
        <f>F6-G6</f>
        <v/>
      </c>
      <c r="I6" s="8">
        <f>IF(A6&gt;=ASSUMPTIONS!$B$21,H6*ASSUMPTIONS!$B$20,0)</f>
        <v/>
      </c>
    </row>
    <row r="7">
      <c r="A7" s="2" t="n">
        <v>6</v>
      </c>
      <c r="B7" s="8">
        <f>IF(A7=1,ASSUMPTIONS!$B$17,E6)</f>
        <v/>
      </c>
      <c r="C7" s="8">
        <f>G5</f>
        <v/>
      </c>
      <c r="D7" s="8">
        <f>IF(A7=6,B7*ASSUMPTIONS!$B$22,IF(A7=7,B7*ASSUMPTIONS!$B$22,IF(A7&gt;=8,B7*ASSUMPTIONS!$B$23,0)))</f>
        <v/>
      </c>
      <c r="E7" s="8">
        <f>MAX(0,B7+C7-D7)</f>
        <v/>
      </c>
      <c r="F7" s="8">
        <f>IF(A7=1,0,E7*ASSUMPTIONS!$B$18)</f>
        <v/>
      </c>
      <c r="G7" s="8">
        <f>F7*ASSUMPTIONS!$B$19</f>
        <v/>
      </c>
      <c r="H7" s="8">
        <f>F7-G7</f>
        <v/>
      </c>
      <c r="I7" s="8">
        <f>IF(A7&gt;=ASSUMPTIONS!$B$21,H7*ASSUMPTIONS!$B$20,0)</f>
        <v/>
      </c>
    </row>
    <row r="8">
      <c r="A8" s="2" t="n">
        <v>7</v>
      </c>
      <c r="B8" s="8">
        <f>IF(A8=1,ASSUMPTIONS!$B$17,E7)</f>
        <v/>
      </c>
      <c r="C8" s="8">
        <f>G6</f>
        <v/>
      </c>
      <c r="D8" s="8">
        <f>IF(A8=6,B8*ASSUMPTIONS!$B$22,IF(A8=7,B8*ASSUMPTIONS!$B$22,IF(A8&gt;=8,B8*ASSUMPTIONS!$B$23,0)))</f>
        <v/>
      </c>
      <c r="E8" s="8">
        <f>MAX(0,B8+C8-D8)</f>
        <v/>
      </c>
      <c r="F8" s="8">
        <f>IF(A8=1,0,E8*ASSUMPTIONS!$B$18)</f>
        <v/>
      </c>
      <c r="G8" s="8">
        <f>F8*ASSUMPTIONS!$B$19</f>
        <v/>
      </c>
      <c r="H8" s="8">
        <f>F8-G8</f>
        <v/>
      </c>
      <c r="I8" s="8">
        <f>IF(A8&gt;=ASSUMPTIONS!$B$21,H8*ASSUMPTIONS!$B$20,0)</f>
        <v/>
      </c>
    </row>
    <row r="9">
      <c r="A9" s="2" t="n">
        <v>8</v>
      </c>
      <c r="B9" s="8">
        <f>IF(A9=1,ASSUMPTIONS!$B$17,E8)</f>
        <v/>
      </c>
      <c r="C9" s="8">
        <f>G7</f>
        <v/>
      </c>
      <c r="D9" s="8">
        <f>IF(A9=6,B9*ASSUMPTIONS!$B$22,IF(A9=7,B9*ASSUMPTIONS!$B$22,IF(A9&gt;=8,B9*ASSUMPTIONS!$B$23,0)))</f>
        <v/>
      </c>
      <c r="E9" s="8">
        <f>MAX(0,B9+C9-D9)</f>
        <v/>
      </c>
      <c r="F9" s="8">
        <f>IF(A9=1,0,E9*ASSUMPTIONS!$B$18)</f>
        <v/>
      </c>
      <c r="G9" s="8">
        <f>F9*ASSUMPTIONS!$B$19</f>
        <v/>
      </c>
      <c r="H9" s="8">
        <f>F9-G9</f>
        <v/>
      </c>
      <c r="I9" s="8">
        <f>IF(A9&gt;=ASSUMPTIONS!$B$21,H9*ASSUMPTIONS!$B$20,0)</f>
        <v/>
      </c>
    </row>
    <row r="10">
      <c r="A10" s="2" t="n">
        <v>9</v>
      </c>
      <c r="B10" s="8">
        <f>IF(A10=1,ASSUMPTIONS!$B$17,E9)</f>
        <v/>
      </c>
      <c r="C10" s="8">
        <f>G8</f>
        <v/>
      </c>
      <c r="D10" s="8">
        <f>IF(A10=6,B10*ASSUMPTIONS!$B$22,IF(A10=7,B10*ASSUMPTIONS!$B$22,IF(A10&gt;=8,B10*ASSUMPTIONS!$B$23,0)))</f>
        <v/>
      </c>
      <c r="E10" s="8">
        <f>MAX(0,B10+C10-D10)</f>
        <v/>
      </c>
      <c r="F10" s="8">
        <f>IF(A10=1,0,E10*ASSUMPTIONS!$B$18)</f>
        <v/>
      </c>
      <c r="G10" s="8">
        <f>F10*ASSUMPTIONS!$B$19</f>
        <v/>
      </c>
      <c r="H10" s="8">
        <f>F10-G10</f>
        <v/>
      </c>
      <c r="I10" s="8">
        <f>IF(A10&gt;=ASSUMPTIONS!$B$21,H10*ASSUMPTIONS!$B$20,0)</f>
        <v/>
      </c>
    </row>
    <row r="11">
      <c r="A11" s="2" t="n">
        <v>10</v>
      </c>
      <c r="B11" s="8">
        <f>IF(A11=1,ASSUMPTIONS!$B$17,E10)</f>
        <v/>
      </c>
      <c r="C11" s="8">
        <f>G9</f>
        <v/>
      </c>
      <c r="D11" s="8">
        <f>IF(A11=6,B11*ASSUMPTIONS!$B$22,IF(A11=7,B11*ASSUMPTIONS!$B$22,IF(A11&gt;=8,B11*ASSUMPTIONS!$B$23,0)))</f>
        <v/>
      </c>
      <c r="E11" s="8">
        <f>MAX(0,B11+C11-D11)</f>
        <v/>
      </c>
      <c r="F11" s="8">
        <f>IF(A11=1,0,E11*ASSUMPTIONS!$B$18)</f>
        <v/>
      </c>
      <c r="G11" s="8">
        <f>F11*ASSUMPTIONS!$B$19</f>
        <v/>
      </c>
      <c r="H11" s="8">
        <f>F11-G11</f>
        <v/>
      </c>
      <c r="I11" s="8">
        <f>IF(A11&gt;=ASSUMPTIONS!$B$21,H11*ASSUMPTIONS!$B$20,0)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Year</t>
        </is>
      </c>
      <c r="B1" s="1" t="inlineStr">
        <is>
          <t>Yield L/day/cow</t>
        </is>
      </c>
      <c r="C1" s="1" t="inlineStr">
        <is>
          <t>Wet Days Effective</t>
        </is>
      </c>
      <c r="D1" s="1" t="inlineStr">
        <is>
          <t>Milking Cows</t>
        </is>
      </c>
      <c r="E1" s="1" t="inlineStr">
        <is>
          <t>Milk Liters</t>
        </is>
      </c>
      <c r="F1" s="1" t="inlineStr">
        <is>
          <t>Beef Kg</t>
        </is>
      </c>
      <c r="G1" s="1" t="inlineStr">
        <is>
          <t>Manure bags</t>
        </is>
      </c>
      <c r="H1" s="1" t="inlineStr">
        <is>
          <t>Crop Acres</t>
        </is>
      </c>
    </row>
    <row r="2">
      <c r="A2" s="2" t="n">
        <v>1</v>
      </c>
      <c r="B2" s="8">
        <f>ASSUMPTIONS!B39</f>
        <v/>
      </c>
      <c r="C2" s="8">
        <f>IF(A2=1,ASSUMPTIONS!$B$25*ASSUMPTIONS!$B$32,IF(A2=2,ASSUMPTIONS!$B$25*ASSUMPTIONS!$B$33,ASSUMPTIONS!$B$25))</f>
        <v/>
      </c>
      <c r="D2" s="8">
        <f>ASSUMPTIONS!B45</f>
        <v/>
      </c>
      <c r="E2" s="9">
        <f>B2*C2*D2</f>
        <v/>
      </c>
      <c r="F2" s="9">
        <f>ASSUMPTIONS!B46</f>
        <v/>
      </c>
      <c r="G2" s="9">
        <f>ASSUMPTIONS!B47</f>
        <v/>
      </c>
      <c r="H2" s="8">
        <f>ASSUMPTIONS!B43</f>
        <v/>
      </c>
    </row>
    <row r="3">
      <c r="A3" s="2" t="n">
        <v>2</v>
      </c>
      <c r="B3" s="8">
        <f>ASSUMPTIONS!C39</f>
        <v/>
      </c>
      <c r="C3" s="8">
        <f>IF(A3=1,ASSUMPTIONS!$B$25*ASSUMPTIONS!$B$32,IF(A3=2,ASSUMPTIONS!$B$25*ASSUMPTIONS!$B$33,ASSUMPTIONS!$B$25))</f>
        <v/>
      </c>
      <c r="D3" s="8">
        <f>ASSUMPTIONS!C45</f>
        <v/>
      </c>
      <c r="E3" s="9">
        <f>B3*C3*D3</f>
        <v/>
      </c>
      <c r="F3" s="9">
        <f>ASSUMPTIONS!C46</f>
        <v/>
      </c>
      <c r="G3" s="9">
        <f>ASSUMPTIONS!C47</f>
        <v/>
      </c>
      <c r="H3" s="8">
        <f>ASSUMPTIONS!C43</f>
        <v/>
      </c>
    </row>
    <row r="4">
      <c r="A4" s="2" t="n">
        <v>3</v>
      </c>
      <c r="B4" s="8">
        <f>ASSUMPTIONS!D39</f>
        <v/>
      </c>
      <c r="C4" s="8">
        <f>IF(A4=1,ASSUMPTIONS!$B$25*ASSUMPTIONS!$B$32,IF(A4=2,ASSUMPTIONS!$B$25*ASSUMPTIONS!$B$33,ASSUMPTIONS!$B$25))</f>
        <v/>
      </c>
      <c r="D4" s="8">
        <f>ASSUMPTIONS!D45</f>
        <v/>
      </c>
      <c r="E4" s="9">
        <f>B4*C4*D4</f>
        <v/>
      </c>
      <c r="F4" s="9">
        <f>ASSUMPTIONS!D46</f>
        <v/>
      </c>
      <c r="G4" s="9">
        <f>ASSUMPTIONS!D47</f>
        <v/>
      </c>
      <c r="H4" s="8">
        <f>ASSUMPTIONS!D43</f>
        <v/>
      </c>
    </row>
    <row r="5">
      <c r="A5" s="2" t="n">
        <v>4</v>
      </c>
      <c r="B5" s="8">
        <f>ASSUMPTIONS!E39</f>
        <v/>
      </c>
      <c r="C5" s="8">
        <f>IF(A5=1,ASSUMPTIONS!$B$25*ASSUMPTIONS!$B$32,IF(A5=2,ASSUMPTIONS!$B$25*ASSUMPTIONS!$B$33,ASSUMPTIONS!$B$25))</f>
        <v/>
      </c>
      <c r="D5" s="8">
        <f>ASSUMPTIONS!E45</f>
        <v/>
      </c>
      <c r="E5" s="9">
        <f>B5*C5*D5</f>
        <v/>
      </c>
      <c r="F5" s="9">
        <f>ASSUMPTIONS!E46</f>
        <v/>
      </c>
      <c r="G5" s="9">
        <f>ASSUMPTIONS!E47</f>
        <v/>
      </c>
      <c r="H5" s="8">
        <f>ASSUMPTIONS!E43</f>
        <v/>
      </c>
    </row>
    <row r="6">
      <c r="A6" s="2" t="n">
        <v>5</v>
      </c>
      <c r="B6" s="8">
        <f>ASSUMPTIONS!F39</f>
        <v/>
      </c>
      <c r="C6" s="8">
        <f>IF(A6=1,ASSUMPTIONS!$B$25*ASSUMPTIONS!$B$32,IF(A6=2,ASSUMPTIONS!$B$25*ASSUMPTIONS!$B$33,ASSUMPTIONS!$B$25))</f>
        <v/>
      </c>
      <c r="D6" s="8">
        <f>ASSUMPTIONS!F45</f>
        <v/>
      </c>
      <c r="E6" s="9">
        <f>B6*C6*D6</f>
        <v/>
      </c>
      <c r="F6" s="9">
        <f>ASSUMPTIONS!F46</f>
        <v/>
      </c>
      <c r="G6" s="9">
        <f>ASSUMPTIONS!F47</f>
        <v/>
      </c>
      <c r="H6" s="8">
        <f>ASSUMPTIONS!F43</f>
        <v/>
      </c>
    </row>
    <row r="7">
      <c r="A7" s="2" t="n">
        <v>6</v>
      </c>
      <c r="B7" s="8">
        <f>ASSUMPTIONS!G39</f>
        <v/>
      </c>
      <c r="C7" s="8">
        <f>IF(A7=1,ASSUMPTIONS!$B$25*ASSUMPTIONS!$B$32,IF(A7=2,ASSUMPTIONS!$B$25*ASSUMPTIONS!$B$33,ASSUMPTIONS!$B$25))</f>
        <v/>
      </c>
      <c r="D7" s="8">
        <f>ASSUMPTIONS!G45</f>
        <v/>
      </c>
      <c r="E7" s="9">
        <f>B7*C7*D7</f>
        <v/>
      </c>
      <c r="F7" s="9">
        <f>ASSUMPTIONS!G46</f>
        <v/>
      </c>
      <c r="G7" s="9">
        <f>ASSUMPTIONS!G47</f>
        <v/>
      </c>
      <c r="H7" s="8">
        <f>ASSUMPTIONS!G43</f>
        <v/>
      </c>
    </row>
    <row r="8">
      <c r="A8" s="2" t="n">
        <v>7</v>
      </c>
      <c r="B8" s="8">
        <f>ASSUMPTIONS!H39</f>
        <v/>
      </c>
      <c r="C8" s="8">
        <f>IF(A8=1,ASSUMPTIONS!$B$25*ASSUMPTIONS!$B$32,IF(A8=2,ASSUMPTIONS!$B$25*ASSUMPTIONS!$B$33,ASSUMPTIONS!$B$25))</f>
        <v/>
      </c>
      <c r="D8" s="8">
        <f>ASSUMPTIONS!H45</f>
        <v/>
      </c>
      <c r="E8" s="9">
        <f>B8*C8*D8</f>
        <v/>
      </c>
      <c r="F8" s="9">
        <f>ASSUMPTIONS!H46</f>
        <v/>
      </c>
      <c r="G8" s="9">
        <f>ASSUMPTIONS!H47</f>
        <v/>
      </c>
      <c r="H8" s="8">
        <f>ASSUMPTIONS!H43</f>
        <v/>
      </c>
    </row>
    <row r="9">
      <c r="A9" s="2" t="n">
        <v>8</v>
      </c>
      <c r="B9" s="8">
        <f>ASSUMPTIONS!I39</f>
        <v/>
      </c>
      <c r="C9" s="8">
        <f>IF(A9=1,ASSUMPTIONS!$B$25*ASSUMPTIONS!$B$32,IF(A9=2,ASSUMPTIONS!$B$25*ASSUMPTIONS!$B$33,ASSUMPTIONS!$B$25))</f>
        <v/>
      </c>
      <c r="D9" s="8">
        <f>ASSUMPTIONS!I45</f>
        <v/>
      </c>
      <c r="E9" s="9">
        <f>B9*C9*D9</f>
        <v/>
      </c>
      <c r="F9" s="9">
        <f>ASSUMPTIONS!I46</f>
        <v/>
      </c>
      <c r="G9" s="9">
        <f>ASSUMPTIONS!I47</f>
        <v/>
      </c>
      <c r="H9" s="8">
        <f>ASSUMPTIONS!I43</f>
        <v/>
      </c>
    </row>
    <row r="10">
      <c r="A10" s="2" t="n">
        <v>9</v>
      </c>
      <c r="B10" s="8">
        <f>ASSUMPTIONS!J39</f>
        <v/>
      </c>
      <c r="C10" s="8">
        <f>IF(A10=1,ASSUMPTIONS!$B$25*ASSUMPTIONS!$B$32,IF(A10=2,ASSUMPTIONS!$B$25*ASSUMPTIONS!$B$33,ASSUMPTIONS!$B$25))</f>
        <v/>
      </c>
      <c r="D10" s="8">
        <f>ASSUMPTIONS!J45</f>
        <v/>
      </c>
      <c r="E10" s="9">
        <f>B10*C10*D10</f>
        <v/>
      </c>
      <c r="F10" s="9">
        <f>ASSUMPTIONS!J46</f>
        <v/>
      </c>
      <c r="G10" s="9">
        <f>ASSUMPTIONS!J47</f>
        <v/>
      </c>
      <c r="H10" s="8">
        <f>ASSUMPTIONS!J43</f>
        <v/>
      </c>
    </row>
    <row r="11">
      <c r="A11" s="2" t="n">
        <v>10</v>
      </c>
      <c r="B11" s="8">
        <f>ASSUMPTIONS!K39</f>
        <v/>
      </c>
      <c r="C11" s="8">
        <f>IF(A11=1,ASSUMPTIONS!$B$25*ASSUMPTIONS!$B$32,IF(A11=2,ASSUMPTIONS!$B$25*ASSUMPTIONS!$B$33,ASSUMPTIONS!$B$25))</f>
        <v/>
      </c>
      <c r="D11" s="8">
        <f>ASSUMPTIONS!K45</f>
        <v/>
      </c>
      <c r="E11" s="9">
        <f>B11*C11*D11</f>
        <v/>
      </c>
      <c r="F11" s="9">
        <f>ASSUMPTIONS!K46</f>
        <v/>
      </c>
      <c r="G11" s="9">
        <f>ASSUMPTIONS!K47</f>
        <v/>
      </c>
      <c r="H11" s="8">
        <f>ASSUMPTIONS!K43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3:K11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Milk_Liters</t>
        </is>
      </c>
      <c r="B4" s="9">
        <f>PRODUCTION!E2</f>
        <v/>
      </c>
      <c r="C4" s="9">
        <f>PRODUCTION!E3</f>
        <v/>
      </c>
      <c r="D4" s="9">
        <f>PRODUCTION!E4</f>
        <v/>
      </c>
      <c r="E4" s="9">
        <f>PRODUCTION!E5</f>
        <v/>
      </c>
      <c r="F4" s="9">
        <f>PRODUCTION!E6</f>
        <v/>
      </c>
      <c r="G4" s="9">
        <f>PRODUCTION!E7</f>
        <v/>
      </c>
      <c r="H4" s="9">
        <f>PRODUCTION!E8</f>
        <v/>
      </c>
      <c r="I4" s="9">
        <f>PRODUCTION!E9</f>
        <v/>
      </c>
      <c r="J4" s="9">
        <f>PRODUCTION!E10</f>
        <v/>
      </c>
      <c r="K4" s="9">
        <f>PRODUCTION!E11</f>
        <v/>
      </c>
    </row>
    <row r="5">
      <c r="A5" s="2" t="inlineStr">
        <is>
          <t>Milk_Price_NGN_per_L</t>
        </is>
      </c>
      <c r="B5" s="9">
        <f>ASSUMPTIONS!B40</f>
        <v/>
      </c>
      <c r="C5" s="9">
        <f>ASSUMPTIONS!C40</f>
        <v/>
      </c>
      <c r="D5" s="9">
        <f>ASSUMPTIONS!D40</f>
        <v/>
      </c>
      <c r="E5" s="9">
        <f>ASSUMPTIONS!E40</f>
        <v/>
      </c>
      <c r="F5" s="9">
        <f>ASSUMPTIONS!F40</f>
        <v/>
      </c>
      <c r="G5" s="9">
        <f>ASSUMPTIONS!G40</f>
        <v/>
      </c>
      <c r="H5" s="9">
        <f>ASSUMPTIONS!H40</f>
        <v/>
      </c>
      <c r="I5" s="9">
        <f>ASSUMPTIONS!I40</f>
        <v/>
      </c>
      <c r="J5" s="9">
        <f>ASSUMPTIONS!J40</f>
        <v/>
      </c>
      <c r="K5" s="9">
        <f>ASSUMPTIONS!K40</f>
        <v/>
      </c>
    </row>
    <row r="6">
      <c r="A6" s="2" t="inlineStr">
        <is>
          <t>Beef_Kg</t>
        </is>
      </c>
      <c r="B6" s="9">
        <f>PRODUCTION!F2</f>
        <v/>
      </c>
      <c r="C6" s="9">
        <f>PRODUCTION!F3</f>
        <v/>
      </c>
      <c r="D6" s="9">
        <f>PRODUCTION!F4</f>
        <v/>
      </c>
      <c r="E6" s="9">
        <f>PRODUCTION!F5</f>
        <v/>
      </c>
      <c r="F6" s="9">
        <f>PRODUCTION!F6</f>
        <v/>
      </c>
      <c r="G6" s="9">
        <f>PRODUCTION!F7</f>
        <v/>
      </c>
      <c r="H6" s="9">
        <f>PRODUCTION!F8</f>
        <v/>
      </c>
      <c r="I6" s="9">
        <f>PRODUCTION!F9</f>
        <v/>
      </c>
      <c r="J6" s="9">
        <f>PRODUCTION!F10</f>
        <v/>
      </c>
      <c r="K6" s="9">
        <f>PRODUCTION!F11</f>
        <v/>
      </c>
    </row>
    <row r="7">
      <c r="A7" s="2" t="inlineStr">
        <is>
          <t>Beef_Price_NGN_per_Kg</t>
        </is>
      </c>
      <c r="B7" s="9">
        <f>ASSUMPTIONS!B41</f>
        <v/>
      </c>
      <c r="C7" s="9">
        <f>ASSUMPTIONS!C41</f>
        <v/>
      </c>
      <c r="D7" s="9">
        <f>ASSUMPTIONS!D41</f>
        <v/>
      </c>
      <c r="E7" s="9">
        <f>ASSUMPTIONS!E41</f>
        <v/>
      </c>
      <c r="F7" s="9">
        <f>ASSUMPTIONS!F41</f>
        <v/>
      </c>
      <c r="G7" s="9">
        <f>ASSUMPTIONS!G41</f>
        <v/>
      </c>
      <c r="H7" s="9">
        <f>ASSUMPTIONS!H41</f>
        <v/>
      </c>
      <c r="I7" s="9">
        <f>ASSUMPTIONS!I41</f>
        <v/>
      </c>
      <c r="J7" s="9">
        <f>ASSUMPTIONS!J41</f>
        <v/>
      </c>
      <c r="K7" s="9">
        <f>ASSUMPTIONS!K41</f>
        <v/>
      </c>
    </row>
    <row r="8">
      <c r="A8" s="2" t="inlineStr">
        <is>
          <t>Manure_Bags</t>
        </is>
      </c>
      <c r="B8" s="9">
        <f>PRODUCTION!G2</f>
        <v/>
      </c>
      <c r="C8" s="9">
        <f>PRODUCTION!G3</f>
        <v/>
      </c>
      <c r="D8" s="9">
        <f>PRODUCTION!G4</f>
        <v/>
      </c>
      <c r="E8" s="9">
        <f>PRODUCTION!G5</f>
        <v/>
      </c>
      <c r="F8" s="9">
        <f>PRODUCTION!G6</f>
        <v/>
      </c>
      <c r="G8" s="9">
        <f>PRODUCTION!G7</f>
        <v/>
      </c>
      <c r="H8" s="9">
        <f>PRODUCTION!G8</f>
        <v/>
      </c>
      <c r="I8" s="9">
        <f>PRODUCTION!G9</f>
        <v/>
      </c>
      <c r="J8" s="9">
        <f>PRODUCTION!G10</f>
        <v/>
      </c>
      <c r="K8" s="9">
        <f>PRODUCTION!G11</f>
        <v/>
      </c>
    </row>
    <row r="9">
      <c r="A9" s="2" t="inlineStr">
        <is>
          <t>Manure_Price_NGN_per_Bag</t>
        </is>
      </c>
      <c r="B9" s="9">
        <f>ASSUMPTIONS!B42</f>
        <v/>
      </c>
      <c r="C9" s="9">
        <f>ASSUMPTIONS!C42</f>
        <v/>
      </c>
      <c r="D9" s="9">
        <f>ASSUMPTIONS!D42</f>
        <v/>
      </c>
      <c r="E9" s="9">
        <f>ASSUMPTIONS!E42</f>
        <v/>
      </c>
      <c r="F9" s="9">
        <f>ASSUMPTIONS!F42</f>
        <v/>
      </c>
      <c r="G9" s="9">
        <f>ASSUMPTIONS!G42</f>
        <v/>
      </c>
      <c r="H9" s="9">
        <f>ASSUMPTIONS!H42</f>
        <v/>
      </c>
      <c r="I9" s="9">
        <f>ASSUMPTIONS!I42</f>
        <v/>
      </c>
      <c r="J9" s="9">
        <f>ASSUMPTIONS!J42</f>
        <v/>
      </c>
      <c r="K9" s="9">
        <f>ASSUMPTIONS!K42</f>
        <v/>
      </c>
    </row>
    <row r="10">
      <c r="A10" s="2" t="inlineStr">
        <is>
          <t>Crop_Acres</t>
        </is>
      </c>
      <c r="B10" s="8">
        <f>PRODUCTION!H2</f>
        <v/>
      </c>
      <c r="C10" s="8">
        <f>PRODUCTION!H3</f>
        <v/>
      </c>
      <c r="D10" s="8">
        <f>PRODUCTION!H4</f>
        <v/>
      </c>
      <c r="E10" s="8">
        <f>PRODUCTION!H5</f>
        <v/>
      </c>
      <c r="F10" s="8">
        <f>PRODUCTION!H6</f>
        <v/>
      </c>
      <c r="G10" s="8">
        <f>PRODUCTION!H7</f>
        <v/>
      </c>
      <c r="H10" s="8">
        <f>PRODUCTION!H8</f>
        <v/>
      </c>
      <c r="I10" s="8">
        <f>PRODUCTION!H9</f>
        <v/>
      </c>
      <c r="J10" s="8">
        <f>PRODUCTION!H10</f>
        <v/>
      </c>
      <c r="K10" s="8">
        <f>PRODUCTION!H11</f>
        <v/>
      </c>
    </row>
    <row r="11">
      <c r="A11" s="2" t="inlineStr">
        <is>
          <t>Crop_Yield_Price_per_Acre</t>
        </is>
      </c>
      <c r="B11" s="9">
        <f>ASSUMPTIONS!B44</f>
        <v/>
      </c>
      <c r="C11" s="9">
        <f>ASSUMPTIONS!C44</f>
        <v/>
      </c>
      <c r="D11" s="9">
        <f>ASSUMPTIONS!D44</f>
        <v/>
      </c>
      <c r="E11" s="9">
        <f>ASSUMPTIONS!E44</f>
        <v/>
      </c>
      <c r="F11" s="9">
        <f>ASSUMPTIONS!F44</f>
        <v/>
      </c>
      <c r="G11" s="9">
        <f>ASSUMPTIONS!G44</f>
        <v/>
      </c>
      <c r="H11" s="9">
        <f>ASSUMPTIONS!H44</f>
        <v/>
      </c>
      <c r="I11" s="9">
        <f>ASSUMPTIONS!I44</f>
        <v/>
      </c>
      <c r="J11" s="9">
        <f>ASSUMPTIONS!J44</f>
        <v/>
      </c>
      <c r="K11" s="9">
        <f>ASSUMPTIONS!K44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3:K8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Milk_Revenue</t>
        </is>
      </c>
      <c r="B4" s="9">
        <f>INPUTS_OPERATING!B4*INPUTS_OPERATING!B5</f>
        <v/>
      </c>
      <c r="C4" s="9">
        <f>INPUTS_OPERATING!C4*INPUTS_OPERATING!C5</f>
        <v/>
      </c>
      <c r="D4" s="9">
        <f>INPUTS_OPERATING!D4*INPUTS_OPERATING!D5</f>
        <v/>
      </c>
      <c r="E4" s="9">
        <f>INPUTS_OPERATING!E4*INPUTS_OPERATING!E5</f>
        <v/>
      </c>
      <c r="F4" s="9">
        <f>INPUTS_OPERATING!F4*INPUTS_OPERATING!F5</f>
        <v/>
      </c>
      <c r="G4" s="9">
        <f>INPUTS_OPERATING!G4*INPUTS_OPERATING!G5</f>
        <v/>
      </c>
      <c r="H4" s="9">
        <f>INPUTS_OPERATING!H4*INPUTS_OPERATING!H5</f>
        <v/>
      </c>
      <c r="I4" s="9">
        <f>INPUTS_OPERATING!I4*INPUTS_OPERATING!I5</f>
        <v/>
      </c>
      <c r="J4" s="9">
        <f>INPUTS_OPERATING!J4*INPUTS_OPERATING!J5</f>
        <v/>
      </c>
      <c r="K4" s="9">
        <f>INPUTS_OPERATING!K4*INPUTS_OPERATING!K5</f>
        <v/>
      </c>
    </row>
    <row r="5">
      <c r="A5" s="2" t="inlineStr">
        <is>
          <t>Beef_Revenue</t>
        </is>
      </c>
      <c r="B5" s="9">
        <f>INPUTS_OPERATING!B6*INPUTS_OPERATING!B7</f>
        <v/>
      </c>
      <c r="C5" s="9">
        <f>INPUTS_OPERATING!C6*INPUTS_OPERATING!C7</f>
        <v/>
      </c>
      <c r="D5" s="9">
        <f>INPUTS_OPERATING!D6*INPUTS_OPERATING!D7</f>
        <v/>
      </c>
      <c r="E5" s="9">
        <f>INPUTS_OPERATING!E6*INPUTS_OPERATING!E7</f>
        <v/>
      </c>
      <c r="F5" s="9">
        <f>INPUTS_OPERATING!F6*INPUTS_OPERATING!F7</f>
        <v/>
      </c>
      <c r="G5" s="9">
        <f>INPUTS_OPERATING!G6*INPUTS_OPERATING!G7</f>
        <v/>
      </c>
      <c r="H5" s="9">
        <f>INPUTS_OPERATING!H6*INPUTS_OPERATING!H7</f>
        <v/>
      </c>
      <c r="I5" s="9">
        <f>INPUTS_OPERATING!I6*INPUTS_OPERATING!I7</f>
        <v/>
      </c>
      <c r="J5" s="9">
        <f>INPUTS_OPERATING!J6*INPUTS_OPERATING!J7</f>
        <v/>
      </c>
      <c r="K5" s="9">
        <f>INPUTS_OPERATING!K6*INPUTS_OPERATING!K7</f>
        <v/>
      </c>
    </row>
    <row r="6">
      <c r="A6" s="2" t="inlineStr">
        <is>
          <t>Manure_Revenue</t>
        </is>
      </c>
      <c r="B6" s="9">
        <f>INPUTS_OPERATING!B8*INPUTS_OPERATING!B9</f>
        <v/>
      </c>
      <c r="C6" s="9">
        <f>INPUTS_OPERATING!C8*INPUTS_OPERATING!C9</f>
        <v/>
      </c>
      <c r="D6" s="9">
        <f>INPUTS_OPERATING!D8*INPUTS_OPERATING!D9</f>
        <v/>
      </c>
      <c r="E6" s="9">
        <f>INPUTS_OPERATING!E8*INPUTS_OPERATING!E9</f>
        <v/>
      </c>
      <c r="F6" s="9">
        <f>INPUTS_OPERATING!F8*INPUTS_OPERATING!F9</f>
        <v/>
      </c>
      <c r="G6" s="9">
        <f>INPUTS_OPERATING!G8*INPUTS_OPERATING!G9</f>
        <v/>
      </c>
      <c r="H6" s="9">
        <f>INPUTS_OPERATING!H8*INPUTS_OPERATING!H9</f>
        <v/>
      </c>
      <c r="I6" s="9">
        <f>INPUTS_OPERATING!I8*INPUTS_OPERATING!I9</f>
        <v/>
      </c>
      <c r="J6" s="9">
        <f>INPUTS_OPERATING!J8*INPUTS_OPERATING!J9</f>
        <v/>
      </c>
      <c r="K6" s="9">
        <f>INPUTS_OPERATING!K8*INPUTS_OPERATING!K9</f>
        <v/>
      </c>
    </row>
    <row r="7">
      <c r="A7" s="2" t="inlineStr">
        <is>
          <t>Crop_Yield_Revenue</t>
        </is>
      </c>
      <c r="B7" s="9">
        <f>INPUTS_OPERATING!B10*INPUTS_OPERATING!B11</f>
        <v/>
      </c>
      <c r="C7" s="9">
        <f>INPUTS_OPERATING!C10*INPUTS_OPERATING!C11</f>
        <v/>
      </c>
      <c r="D7" s="9">
        <f>INPUTS_OPERATING!D10*INPUTS_OPERATING!D11</f>
        <v/>
      </c>
      <c r="E7" s="9">
        <f>INPUTS_OPERATING!E10*INPUTS_OPERATING!E11</f>
        <v/>
      </c>
      <c r="F7" s="9">
        <f>INPUTS_OPERATING!F10*INPUTS_OPERATING!F11</f>
        <v/>
      </c>
      <c r="G7" s="9">
        <f>INPUTS_OPERATING!G10*INPUTS_OPERATING!G11</f>
        <v/>
      </c>
      <c r="H7" s="9">
        <f>INPUTS_OPERATING!H10*INPUTS_OPERATING!H11</f>
        <v/>
      </c>
      <c r="I7" s="9">
        <f>INPUTS_OPERATING!I10*INPUTS_OPERATING!I11</f>
        <v/>
      </c>
      <c r="J7" s="9">
        <f>INPUTS_OPERATING!J10*INPUTS_OPERATING!J11</f>
        <v/>
      </c>
      <c r="K7" s="9">
        <f>INPUTS_OPERATING!K10*INPUTS_OPERATING!K11</f>
        <v/>
      </c>
    </row>
    <row r="8">
      <c r="A8" s="2" t="inlineStr">
        <is>
          <t>Total_Revenue</t>
        </is>
      </c>
      <c r="B8" s="9">
        <f>SUM(B4:B7)</f>
        <v/>
      </c>
      <c r="C8" s="9">
        <f>SUM(C4:C7)</f>
        <v/>
      </c>
      <c r="D8" s="9">
        <f>SUM(D4:D7)</f>
        <v/>
      </c>
      <c r="E8" s="9">
        <f>SUM(E4:E7)</f>
        <v/>
      </c>
      <c r="F8" s="9">
        <f>SUM(F4:F7)</f>
        <v/>
      </c>
      <c r="G8" s="9">
        <f>SUM(G4:G7)</f>
        <v/>
      </c>
      <c r="H8" s="9">
        <f>SUM(H4:H7)</f>
        <v/>
      </c>
      <c r="I8" s="9">
        <f>SUM(I4:I7)</f>
        <v/>
      </c>
      <c r="J8" s="9">
        <f>SUM(J4:J7)</f>
        <v/>
      </c>
      <c r="K8" s="9">
        <f>SUM(K4:K7)</f>
        <v/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>
      <c r="A1" s="26" t="inlineStr">
        <is>
          <t>OPEX SUMMARY</t>
        </is>
      </c>
    </row>
    <row r="2">
      <c r="A2" s="28" t="inlineStr">
        <is>
          <t>Click linked line-item names to jump to the supporting appendix detail.</t>
        </is>
      </c>
    </row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9" t="inlineStr">
        <is>
          <t>Feed Supplements</t>
        </is>
      </c>
      <c r="B4" s="9" t="n">
        <v>2304000</v>
      </c>
      <c r="C4" s="9" t="n">
        <v>3456000</v>
      </c>
      <c r="D4" s="9" t="n">
        <v>4706000</v>
      </c>
      <c r="E4" s="9" t="n">
        <v>5956000</v>
      </c>
      <c r="F4" s="9" t="n">
        <v>7456000</v>
      </c>
      <c r="G4" s="9" t="n">
        <v>8956000</v>
      </c>
      <c r="H4" s="9" t="n">
        <v>10456000</v>
      </c>
      <c r="I4" s="9" t="n">
        <v>10456000</v>
      </c>
      <c r="J4" s="9" t="n">
        <v>10456000</v>
      </c>
      <c r="K4" s="9" t="n">
        <v>10456000</v>
      </c>
    </row>
    <row r="5">
      <c r="A5" s="29" t="inlineStr">
        <is>
          <t>Vet</t>
        </is>
      </c>
      <c r="B5" s="9" t="n">
        <v>1250000</v>
      </c>
      <c r="C5" s="9" t="n">
        <v>2200000</v>
      </c>
      <c r="D5" s="9" t="n">
        <v>2750000</v>
      </c>
      <c r="E5" s="9" t="n">
        <v>3687500</v>
      </c>
      <c r="F5" s="9" t="n">
        <v>4875000</v>
      </c>
      <c r="G5" s="9" t="n">
        <v>7595312</v>
      </c>
      <c r="H5" s="9" t="n">
        <v>9390586</v>
      </c>
      <c r="I5" s="9" t="n">
        <v>9382364</v>
      </c>
      <c r="J5" s="9" t="n">
        <v>9374143</v>
      </c>
      <c r="K5" s="9" t="n">
        <v>9377641</v>
      </c>
    </row>
    <row r="6">
      <c r="A6" s="29" t="inlineStr">
        <is>
          <t>Payroll</t>
        </is>
      </c>
      <c r="B6" s="9" t="n">
        <v>7015000</v>
      </c>
      <c r="C6" s="9" t="n">
        <v>10935000</v>
      </c>
      <c r="D6" s="9" t="n">
        <v>12575250</v>
      </c>
      <c r="E6" s="9" t="n">
        <v>13864213</v>
      </c>
      <c r="F6" s="9" t="n">
        <v>15285295</v>
      </c>
      <c r="G6" s="9" t="n">
        <v>17043104</v>
      </c>
      <c r="H6" s="9" t="n">
        <v>17469181</v>
      </c>
      <c r="I6" s="9" t="n">
        <v>17905911</v>
      </c>
      <c r="J6" s="9" t="n">
        <v>18353559</v>
      </c>
      <c r="K6" s="9" t="n">
        <v>18812398</v>
      </c>
    </row>
    <row r="7">
      <c r="A7" s="29" t="inlineStr">
        <is>
          <t>Utilities</t>
        </is>
      </c>
      <c r="B7" s="9" t="n">
        <v>4320000</v>
      </c>
      <c r="C7" s="9" t="n">
        <v>4536000</v>
      </c>
      <c r="D7" s="9" t="n">
        <v>4989600</v>
      </c>
      <c r="E7" s="9" t="n">
        <v>6237000</v>
      </c>
      <c r="F7" s="9" t="n">
        <v>7796250</v>
      </c>
      <c r="G7" s="9" t="n">
        <v>7991156</v>
      </c>
      <c r="H7" s="9" t="n">
        <v>8190935</v>
      </c>
      <c r="I7" s="9" t="n">
        <v>8395709</v>
      </c>
      <c r="J7" s="9" t="n">
        <v>8605601</v>
      </c>
      <c r="K7" s="9" t="n">
        <v>8820741</v>
      </c>
    </row>
    <row r="8">
      <c r="A8" s="29" t="inlineStr">
        <is>
          <t>Fuel</t>
        </is>
      </c>
      <c r="B8" s="9" t="n">
        <v>2640000</v>
      </c>
      <c r="C8" s="9" t="n">
        <v>3036000</v>
      </c>
      <c r="D8" s="9" t="n">
        <v>3339600</v>
      </c>
      <c r="E8" s="9" t="n">
        <v>3423090</v>
      </c>
      <c r="F8" s="9" t="n">
        <v>3508667</v>
      </c>
      <c r="G8" s="9" t="n">
        <v>3596384</v>
      </c>
      <c r="H8" s="9" t="n">
        <v>3686294</v>
      </c>
      <c r="I8" s="9" t="n">
        <v>3778451</v>
      </c>
      <c r="J8" s="9" t="n">
        <v>3872912</v>
      </c>
      <c r="K8" s="9" t="n">
        <v>3969735</v>
      </c>
    </row>
    <row r="9">
      <c r="A9" s="29" t="inlineStr">
        <is>
          <t>Admin</t>
        </is>
      </c>
      <c r="B9" s="9" t="n">
        <v>120000</v>
      </c>
      <c r="C9" s="9" t="n">
        <v>126000</v>
      </c>
      <c r="D9" s="9" t="n">
        <v>138600</v>
      </c>
      <c r="E9" s="9" t="n">
        <v>142065</v>
      </c>
      <c r="F9" s="9" t="n">
        <v>145617</v>
      </c>
      <c r="G9" s="9" t="n">
        <v>149257</v>
      </c>
      <c r="H9" s="9" t="n">
        <v>152988</v>
      </c>
      <c r="I9" s="9" t="n">
        <v>156813</v>
      </c>
      <c r="J9" s="9" t="n">
        <v>160734</v>
      </c>
      <c r="K9" s="9" t="n">
        <v>164752</v>
      </c>
    </row>
    <row r="10">
      <c r="A10" s="29" t="inlineStr">
        <is>
          <t>Security</t>
        </is>
      </c>
      <c r="B10" s="9" t="n">
        <v>2910000</v>
      </c>
      <c r="C10" s="9" t="n">
        <v>3055500</v>
      </c>
      <c r="D10" s="9" t="n">
        <v>3361050</v>
      </c>
      <c r="E10" s="9" t="n">
        <v>3445076</v>
      </c>
      <c r="F10" s="9" t="n">
        <v>3531203</v>
      </c>
      <c r="G10" s="9" t="n">
        <v>3619483</v>
      </c>
      <c r="H10" s="9" t="n">
        <v>3709970</v>
      </c>
      <c r="I10" s="9" t="n">
        <v>3802720</v>
      </c>
      <c r="J10" s="9" t="n">
        <v>3897788</v>
      </c>
      <c r="K10" s="9" t="n">
        <v>3995232</v>
      </c>
    </row>
    <row r="11">
      <c r="A11" s="29" t="inlineStr">
        <is>
          <t>Repairs</t>
        </is>
      </c>
      <c r="B11" s="9" t="n">
        <v>100000</v>
      </c>
      <c r="C11" s="9" t="n">
        <v>2337500</v>
      </c>
      <c r="D11" s="9" t="n">
        <v>2358750</v>
      </c>
      <c r="E11" s="9" t="n">
        <v>2550000</v>
      </c>
      <c r="F11" s="9" t="n">
        <v>4037500</v>
      </c>
      <c r="G11" s="9" t="n">
        <v>2125000</v>
      </c>
      <c r="H11" s="9" t="n">
        <v>2337500</v>
      </c>
      <c r="I11" s="9" t="n">
        <v>2358750</v>
      </c>
      <c r="J11" s="9" t="n">
        <v>4143750</v>
      </c>
      <c r="K11" s="9" t="n">
        <v>2337500</v>
      </c>
    </row>
    <row r="12">
      <c r="A12" s="29" t="inlineStr">
        <is>
          <t>Insurance</t>
        </is>
      </c>
      <c r="B12" s="9" t="n">
        <v>2010000</v>
      </c>
      <c r="C12" s="9" t="n">
        <v>2112804</v>
      </c>
      <c r="D12" s="9" t="n">
        <v>2112804</v>
      </c>
      <c r="E12" s="9" t="n">
        <v>2872447</v>
      </c>
      <c r="F12" s="9" t="n">
        <v>5231004</v>
      </c>
      <c r="G12" s="9" t="n">
        <v>10913024</v>
      </c>
      <c r="H12" s="9" t="n">
        <v>15033096</v>
      </c>
      <c r="I12" s="9" t="n">
        <v>15033096</v>
      </c>
      <c r="J12" s="9" t="n">
        <v>15033096</v>
      </c>
      <c r="K12" s="9" t="n">
        <v>15033096</v>
      </c>
    </row>
    <row r="13">
      <c r="A13" s="29" t="inlineStr">
        <is>
          <t>Misc</t>
        </is>
      </c>
      <c r="B13" s="9" t="n">
        <v>1000000</v>
      </c>
      <c r="C13" s="9" t="n">
        <v>1005000</v>
      </c>
      <c r="D13" s="9" t="n">
        <v>1010025</v>
      </c>
      <c r="E13" s="9" t="n">
        <v>1015075</v>
      </c>
      <c r="F13" s="9" t="n">
        <v>1020151</v>
      </c>
      <c r="G13" s="9" t="n">
        <v>1025251</v>
      </c>
      <c r="H13" s="9" t="n">
        <v>1030378</v>
      </c>
      <c r="I13" s="9" t="n">
        <v>1035529</v>
      </c>
      <c r="J13" s="9" t="n">
        <v>1040707</v>
      </c>
      <c r="K13" s="9" t="n">
        <v>1045911</v>
      </c>
    </row>
    <row r="14">
      <c r="A14" s="29" t="inlineStr">
        <is>
          <t>Total OPEX</t>
        </is>
      </c>
      <c r="B14" s="9">
        <f>SUM(B4:B13)</f>
        <v/>
      </c>
      <c r="C14" s="9">
        <f>SUM(C4:C13)</f>
        <v/>
      </c>
      <c r="D14" s="9">
        <f>SUM(D4:D13)</f>
        <v/>
      </c>
      <c r="E14" s="9">
        <f>SUM(E4:E13)</f>
        <v/>
      </c>
      <c r="F14" s="9">
        <f>SUM(F4:F13)</f>
        <v/>
      </c>
      <c r="G14" s="9">
        <f>SUM(G4:G13)</f>
        <v/>
      </c>
      <c r="H14" s="9">
        <f>SUM(H4:H13)</f>
        <v/>
      </c>
      <c r="I14" s="9">
        <f>SUM(I4:I13)</f>
        <v/>
      </c>
      <c r="J14" s="9">
        <f>SUM(J4:J13)</f>
        <v/>
      </c>
      <c r="K14" s="9">
        <f>SUM(K4:K13)</f>
        <v/>
      </c>
    </row>
  </sheetData>
  <hyperlinks>
    <hyperlink xmlns:r="http://schemas.openxmlformats.org/officeDocument/2006/relationships" ref="A4" r:id="rId1"/>
    <hyperlink xmlns:r="http://schemas.openxmlformats.org/officeDocument/2006/relationships" ref="A5" r:id="rId2"/>
    <hyperlink xmlns:r="http://schemas.openxmlformats.org/officeDocument/2006/relationships" ref="A6" r:id="rId3"/>
    <hyperlink xmlns:r="http://schemas.openxmlformats.org/officeDocument/2006/relationships" ref="A7" r:id="rId4"/>
    <hyperlink xmlns:r="http://schemas.openxmlformats.org/officeDocument/2006/relationships" ref="A8" r:id="rId5"/>
    <hyperlink xmlns:r="http://schemas.openxmlformats.org/officeDocument/2006/relationships" ref="A9" r:id="rId6"/>
    <hyperlink xmlns:r="http://schemas.openxmlformats.org/officeDocument/2006/relationships" ref="A10" r:id="rId7"/>
    <hyperlink xmlns:r="http://schemas.openxmlformats.org/officeDocument/2006/relationships" ref="A11" r:id="rId8"/>
    <hyperlink xmlns:r="http://schemas.openxmlformats.org/officeDocument/2006/relationships" ref="A12" r:id="rId9"/>
    <hyperlink xmlns:r="http://schemas.openxmlformats.org/officeDocument/2006/relationships" ref="A13" r:id="rId10"/>
    <hyperlink xmlns:r="http://schemas.openxmlformats.org/officeDocument/2006/relationships" ref="A14" r:id="rId11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</cols>
  <sheetData>
    <row r="1">
      <c r="A1" s="26" t="inlineStr">
        <is>
          <t>CAPEX SUMMARY</t>
        </is>
      </c>
    </row>
    <row r="2">
      <c r="A2" s="30" t="inlineStr">
        <is>
          <t>Click linked asset-class names to jump to the supporting appendix detail.</t>
        </is>
      </c>
      <c r="B2" s="1" t="inlineStr"/>
      <c r="C2" s="1" t="inlineStr"/>
      <c r="D2" s="1" t="n">
        <v>1</v>
      </c>
      <c r="E2" s="1" t="n">
        <v>2</v>
      </c>
      <c r="F2" s="1" t="n">
        <v>3</v>
      </c>
      <c r="G2" s="1" t="n">
        <v>4</v>
      </c>
      <c r="H2" s="1" t="n">
        <v>5</v>
      </c>
      <c r="I2" s="1" t="n">
        <v>6</v>
      </c>
      <c r="J2" s="1" t="n">
        <v>7</v>
      </c>
      <c r="K2" s="1" t="n">
        <v>8</v>
      </c>
      <c r="L2" s="1" t="n">
        <v>9</v>
      </c>
      <c r="M2" s="1" t="n">
        <v>10</v>
      </c>
    </row>
    <row r="3">
      <c r="A3" s="1" t="inlineStr">
        <is>
          <t>Asset Class</t>
        </is>
      </c>
      <c r="B3" s="1" t="inlineStr">
        <is>
          <t>Depreciable?</t>
        </is>
      </c>
      <c r="C3" s="1" t="inlineStr">
        <is>
          <t>Useful Life</t>
        </is>
      </c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</row>
    <row r="4">
      <c r="A4" s="29" t="inlineStr">
        <is>
          <t>Land</t>
        </is>
      </c>
      <c r="B4" s="8" t="n">
        <v>0</v>
      </c>
      <c r="C4" s="8" t="n">
        <v>0</v>
      </c>
      <c r="D4" s="9" t="n">
        <v>60000000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50000000</v>
      </c>
      <c r="J4" s="9" t="n">
        <v>0</v>
      </c>
      <c r="K4" s="9" t="n">
        <v>0</v>
      </c>
      <c r="L4" s="9" t="n">
        <v>0</v>
      </c>
      <c r="M4" s="9" t="n">
        <v>0</v>
      </c>
    </row>
    <row r="5">
      <c r="A5" s="29" t="inlineStr">
        <is>
          <t>Buildings</t>
        </is>
      </c>
      <c r="B5" s="8" t="n">
        <v>1</v>
      </c>
      <c r="C5" s="8" t="n">
        <v>20</v>
      </c>
      <c r="D5" s="9" t="n">
        <v>121708100</v>
      </c>
      <c r="E5" s="9" t="n">
        <v>0</v>
      </c>
      <c r="F5" s="9" t="n">
        <v>0</v>
      </c>
      <c r="G5" s="9" t="n">
        <v>25000000</v>
      </c>
      <c r="H5" s="9" t="n">
        <v>301000000</v>
      </c>
      <c r="I5" s="9" t="n">
        <v>115000000</v>
      </c>
      <c r="J5" s="9" t="n">
        <v>0</v>
      </c>
      <c r="K5" s="9" t="n">
        <v>0</v>
      </c>
      <c r="L5" s="9" t="n">
        <v>0</v>
      </c>
      <c r="M5" s="9" t="n">
        <v>0</v>
      </c>
    </row>
    <row r="6">
      <c r="A6" s="29" t="inlineStr">
        <is>
          <t>Equipment</t>
        </is>
      </c>
      <c r="B6" s="8" t="n">
        <v>1</v>
      </c>
      <c r="C6" s="8" t="n">
        <v>7</v>
      </c>
      <c r="D6" s="9" t="n">
        <v>65200000</v>
      </c>
      <c r="E6" s="9" t="n">
        <v>55000000</v>
      </c>
      <c r="F6" s="9" t="n">
        <v>0</v>
      </c>
      <c r="G6" s="9" t="n">
        <v>120000000</v>
      </c>
      <c r="H6" s="9" t="n">
        <v>125000000</v>
      </c>
      <c r="I6" s="9" t="n">
        <v>715000000</v>
      </c>
      <c r="J6" s="9" t="n">
        <v>725000000</v>
      </c>
      <c r="K6" s="9" t="n">
        <v>0</v>
      </c>
      <c r="L6" s="9" t="n">
        <v>0</v>
      </c>
      <c r="M6" s="9" t="n">
        <v>0</v>
      </c>
    </row>
    <row r="7">
      <c r="A7" s="29" t="inlineStr">
        <is>
          <t>Breeding Stock</t>
        </is>
      </c>
      <c r="B7" s="8" t="n">
        <v>1</v>
      </c>
      <c r="C7" s="8" t="n">
        <v>5</v>
      </c>
      <c r="D7" s="9" t="n">
        <v>58000000</v>
      </c>
      <c r="E7" s="9" t="n">
        <v>0</v>
      </c>
      <c r="F7" s="9" t="n">
        <v>0</v>
      </c>
      <c r="G7" s="9" t="n">
        <v>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0</v>
      </c>
    </row>
    <row r="8">
      <c r="A8" s="29" t="inlineStr">
        <is>
          <t>Other</t>
        </is>
      </c>
      <c r="B8" s="8" t="n">
        <v>1</v>
      </c>
      <c r="C8" s="8" t="n">
        <v>10</v>
      </c>
      <c r="D8" s="9" t="n">
        <v>30091900</v>
      </c>
      <c r="E8" s="9" t="n">
        <v>0</v>
      </c>
      <c r="F8" s="9" t="n">
        <v>0</v>
      </c>
      <c r="G8" s="9" t="n">
        <v>0</v>
      </c>
      <c r="H8" s="9" t="n">
        <v>0</v>
      </c>
      <c r="I8" s="9" t="n">
        <v>194329190</v>
      </c>
      <c r="J8" s="9" t="n">
        <v>72500000</v>
      </c>
      <c r="K8" s="9" t="n">
        <v>0</v>
      </c>
      <c r="L8" s="9" t="n">
        <v>0</v>
      </c>
      <c r="M8" s="9" t="n">
        <v>0</v>
      </c>
    </row>
    <row r="9">
      <c r="A9" s="29" t="inlineStr">
        <is>
          <t>Total CAPEX</t>
        </is>
      </c>
      <c r="D9" s="9">
        <f>SUM(D4:D8)</f>
        <v/>
      </c>
      <c r="E9" s="9">
        <f>SUM(E4:E8)</f>
        <v/>
      </c>
      <c r="F9" s="9">
        <f>SUM(F4:F8)</f>
        <v/>
      </c>
      <c r="G9" s="9">
        <f>SUM(G4:G8)</f>
        <v/>
      </c>
      <c r="H9" s="9">
        <f>SUM(H4:H8)</f>
        <v/>
      </c>
      <c r="I9" s="9">
        <f>SUM(I4:I8)</f>
        <v/>
      </c>
      <c r="J9" s="9">
        <f>SUM(J4:J8)</f>
        <v/>
      </c>
      <c r="K9" s="9">
        <f>SUM(K4:K8)</f>
        <v/>
      </c>
      <c r="L9" s="9">
        <f>SUM(L4:L8)</f>
        <v/>
      </c>
      <c r="M9" s="9">
        <f>SUM(M4:M8)</f>
        <v/>
      </c>
    </row>
    <row r="11">
      <c r="A11" s="2" t="inlineStr">
        <is>
          <t>Depreciation</t>
        </is>
      </c>
      <c r="D11" s="9">
        <f>IF($B$5=1,SUM(OFFSET(D5,0,-MIN($C$5-1,0),1,MIN($C$5,1)))/$C$5,0)+IF($B$6=1,SUM(OFFSET(D6,0,-MIN($C$6-1,0),1,MIN($C$6,1)))/$C$6,0)+IF($B$7=1,SUM(OFFSET(D7,0,-MIN($C$7-1,0),1,MIN($C$7,1)))/$C$7,0)+IF($B$8=1,SUM(OFFSET(D8,0,-MIN($C$8-1,0),1,MIN($C$8,1)))/$C$8,0)</f>
        <v/>
      </c>
      <c r="E11" s="9">
        <f>IF($B$5=1,SUM(OFFSET(E5,0,-MIN($C$5-1,1),1,MIN($C$5,2)))/$C$5,0)+IF($B$6=1,SUM(OFFSET(E6,0,-MIN($C$6-1,1),1,MIN($C$6,2)))/$C$6,0)+IF($B$7=1,SUM(OFFSET(E7,0,-MIN($C$7-1,1),1,MIN($C$7,2)))/$C$7,0)+IF($B$8=1,SUM(OFFSET(E8,0,-MIN($C$8-1,1),1,MIN($C$8,2)))/$C$8,0)</f>
        <v/>
      </c>
      <c r="F11" s="9">
        <f>IF($B$5=1,SUM(OFFSET(F5,0,-MIN($C$5-1,2),1,MIN($C$5,3)))/$C$5,0)+IF($B$6=1,SUM(OFFSET(F6,0,-MIN($C$6-1,2),1,MIN($C$6,3)))/$C$6,0)+IF($B$7=1,SUM(OFFSET(F7,0,-MIN($C$7-1,2),1,MIN($C$7,3)))/$C$7,0)+IF($B$8=1,SUM(OFFSET(F8,0,-MIN($C$8-1,2),1,MIN($C$8,3)))/$C$8,0)</f>
        <v/>
      </c>
      <c r="G11" s="9">
        <f>IF($B$5=1,SUM(OFFSET(G5,0,-MIN($C$5-1,3),1,MIN($C$5,4)))/$C$5,0)+IF($B$6=1,SUM(OFFSET(G6,0,-MIN($C$6-1,3),1,MIN($C$6,4)))/$C$6,0)+IF($B$7=1,SUM(OFFSET(G7,0,-MIN($C$7-1,3),1,MIN($C$7,4)))/$C$7,0)+IF($B$8=1,SUM(OFFSET(G8,0,-MIN($C$8-1,3),1,MIN($C$8,4)))/$C$8,0)</f>
        <v/>
      </c>
      <c r="H11" s="9">
        <f>IF($B$5=1,SUM(OFFSET(H5,0,-MIN($C$5-1,4),1,MIN($C$5,5)))/$C$5,0)+IF($B$6=1,SUM(OFFSET(H6,0,-MIN($C$6-1,4),1,MIN($C$6,5)))/$C$6,0)+IF($B$7=1,SUM(OFFSET(H7,0,-MIN($C$7-1,4),1,MIN($C$7,5)))/$C$7,0)+IF($B$8=1,SUM(OFFSET(H8,0,-MIN($C$8-1,4),1,MIN($C$8,5)))/$C$8,0)</f>
        <v/>
      </c>
      <c r="I11" s="9">
        <f>IF($B$5=1,SUM(OFFSET(I5,0,-MIN($C$5-1,5),1,MIN($C$5,6)))/$C$5,0)+IF($B$6=1,SUM(OFFSET(I6,0,-MIN($C$6-1,5),1,MIN($C$6,6)))/$C$6,0)+IF($B$7=1,SUM(OFFSET(I7,0,-MIN($C$7-1,5),1,MIN($C$7,6)))/$C$7,0)+IF($B$8=1,SUM(OFFSET(I8,0,-MIN($C$8-1,5),1,MIN($C$8,6)))/$C$8,0)</f>
        <v/>
      </c>
      <c r="J11" s="9">
        <f>IF($B$5=1,SUM(OFFSET(J5,0,-MIN($C$5-1,6),1,MIN($C$5,7)))/$C$5,0)+IF($B$6=1,SUM(OFFSET(J6,0,-MIN($C$6-1,6),1,MIN($C$6,7)))/$C$6,0)+IF($B$7=1,SUM(OFFSET(J7,0,-MIN($C$7-1,6),1,MIN($C$7,7)))/$C$7,0)+IF($B$8=1,SUM(OFFSET(J8,0,-MIN($C$8-1,6),1,MIN($C$8,7)))/$C$8,0)</f>
        <v/>
      </c>
      <c r="K11" s="9">
        <f>IF($B$5=1,SUM(OFFSET(K5,0,-MIN($C$5-1,7),1,MIN($C$5,8)))/$C$5,0)+IF($B$6=1,SUM(OFFSET(K6,0,-MIN($C$6-1,7),1,MIN($C$6,8)))/$C$6,0)+IF($B$7=1,SUM(OFFSET(K7,0,-MIN($C$7-1,7),1,MIN($C$7,8)))/$C$7,0)+IF($B$8=1,SUM(OFFSET(K8,0,-MIN($C$8-1,7),1,MIN($C$8,8)))/$C$8,0)</f>
        <v/>
      </c>
      <c r="L11" s="9">
        <f>IF($B$5=1,SUM(OFFSET(L5,0,-MIN($C$5-1,8),1,MIN($C$5,9)))/$C$5,0)+IF($B$6=1,SUM(OFFSET(L6,0,-MIN($C$6-1,8),1,MIN($C$6,9)))/$C$6,0)+IF($B$7=1,SUM(OFFSET(L7,0,-MIN($C$7-1,8),1,MIN($C$7,9)))/$C$7,0)+IF($B$8=1,SUM(OFFSET(L8,0,-MIN($C$8-1,8),1,MIN($C$8,9)))/$C$8,0)</f>
        <v/>
      </c>
      <c r="M11" s="9">
        <f>IF($B$5=1,SUM(OFFSET(M5,0,-MIN($C$5-1,9),1,MIN($C$5,10)))/$C$5,0)+IF($B$6=1,SUM(OFFSET(M6,0,-MIN($C$6-1,9),1,MIN($C$6,10)))/$C$6,0)+IF($B$7=1,SUM(OFFSET(M7,0,-MIN($C$7-1,9),1,MIN($C$7,10)))/$C$7,0)+IF($B$8=1,SUM(OFFSET(M8,0,-MIN($C$8-1,9),1,MIN($C$8,10)))/$C$8,0)</f>
        <v/>
      </c>
    </row>
    <row r="13">
      <c r="A13" s="2" t="inlineStr">
        <is>
          <t>Net_PPE</t>
        </is>
      </c>
      <c r="D13" s="9">
        <f>D9-D11</f>
        <v/>
      </c>
      <c r="E13" s="9">
        <f>D13+E9-E11</f>
        <v/>
      </c>
      <c r="F13" s="9">
        <f>E13+F9-F11</f>
        <v/>
      </c>
      <c r="G13" s="9">
        <f>F13+G9-G11</f>
        <v/>
      </c>
      <c r="H13" s="9">
        <f>G13+H9-H11</f>
        <v/>
      </c>
      <c r="I13" s="9">
        <f>H13+I9-I11</f>
        <v/>
      </c>
      <c r="J13" s="9">
        <f>I13+J9-J11</f>
        <v/>
      </c>
      <c r="K13" s="9">
        <f>J13+K9-K11</f>
        <v/>
      </c>
      <c r="L13" s="9">
        <f>K13+L9-L11</f>
        <v/>
      </c>
      <c r="M13" s="9">
        <f>L13+M9-M11</f>
        <v/>
      </c>
    </row>
  </sheetData>
  <hyperlinks>
    <hyperlink xmlns:r="http://schemas.openxmlformats.org/officeDocument/2006/relationships" ref="A4" r:id="rId1"/>
    <hyperlink xmlns:r="http://schemas.openxmlformats.org/officeDocument/2006/relationships" ref="A5" r:id="rId2"/>
    <hyperlink xmlns:r="http://schemas.openxmlformats.org/officeDocument/2006/relationships" ref="A6" r:id="rId3"/>
    <hyperlink xmlns:r="http://schemas.openxmlformats.org/officeDocument/2006/relationships" ref="A7" r:id="rId4"/>
    <hyperlink xmlns:r="http://schemas.openxmlformats.org/officeDocument/2006/relationships" ref="A8" r:id="rId5"/>
    <hyperlink xmlns:r="http://schemas.openxmlformats.org/officeDocument/2006/relationships" ref="A9" r:id="rId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Codex</dc:creator>
  <dc:title xmlns:dc="http://purl.org/dc/elements/1.1/">Agbaku Formula-Driven Financial Model</dc:title>
  <dcterms:created xmlns:dcterms="http://purl.org/dc/terms/" xmlns:xsi="http://www.w3.org/2001/XMLSchema-instance" xsi:type="dcterms:W3CDTF">2026-05-30T23:52:54Z</dcterms:created>
  <dcterms:modified xmlns:dcterms="http://purl.org/dc/terms/" xmlns:xsi="http://www.w3.org/2001/XMLSchema-instance" xsi:type="dcterms:W3CDTF">2026-05-31T02:43:19Z</dcterms:modified>
  <cp:lastModifiedBy>Codex</cp:lastModifiedBy>
</cp:coreProperties>
</file>